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2024_11_07\001 - ABM\ABM Notes - Decision Tools - Enterprise Budgets\Risk - Production\"/>
    </mc:Choice>
  </mc:AlternateContent>
  <xr:revisionPtr revIDLastSave="0" documentId="8_{47E0AA16-BC36-4AF9-9650-98F069BBD898}" xr6:coauthVersionLast="47" xr6:coauthVersionMax="47" xr10:uidLastSave="{00000000-0000-0000-0000-000000000000}"/>
  <bookViews>
    <workbookView xWindow="-120" yWindow="-120" windowWidth="29040" windowHeight="15720" tabRatio="644" xr2:uid="{00000000-000D-0000-FFFF-FFFF00000000}"/>
  </bookViews>
  <sheets>
    <sheet name="Input" sheetId="23" r:id="rId1"/>
    <sheet name="Computations" sheetId="24" r:id="rId2"/>
  </sheets>
  <definedNames>
    <definedName name="_xlnm.Print_Area" localSheetId="1">Computations!$B$2:$N$31</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3" l="1"/>
  <c r="E25" i="23"/>
  <c r="P15" i="24"/>
  <c r="J21" i="24"/>
  <c r="I21" i="24"/>
  <c r="H21" i="24"/>
  <c r="G21" i="24"/>
  <c r="F21" i="24"/>
  <c r="E21" i="24"/>
  <c r="D21" i="24"/>
  <c r="C21" i="24"/>
  <c r="J17" i="24"/>
  <c r="I17" i="24"/>
  <c r="H17" i="24"/>
  <c r="G17" i="24"/>
  <c r="F17" i="24"/>
  <c r="E17" i="24"/>
  <c r="D17" i="24"/>
  <c r="C17" i="24"/>
  <c r="E8" i="24"/>
  <c r="D8" i="24"/>
  <c r="C8" i="24"/>
  <c r="J13" i="24"/>
  <c r="I13" i="24"/>
  <c r="H13" i="24"/>
  <c r="G13" i="24"/>
  <c r="F13" i="24"/>
  <c r="E13" i="24"/>
  <c r="D13" i="24"/>
  <c r="C13" i="24"/>
  <c r="J12" i="24"/>
  <c r="I12" i="24"/>
  <c r="H12" i="24"/>
  <c r="G12" i="24"/>
  <c r="F12" i="24"/>
  <c r="E12" i="24"/>
  <c r="D12" i="24"/>
  <c r="C12" i="24"/>
  <c r="J8" i="24"/>
  <c r="I8" i="24"/>
  <c r="H8" i="24"/>
  <c r="G8" i="24"/>
  <c r="F8" i="24"/>
  <c r="J7" i="24"/>
  <c r="I7" i="24"/>
  <c r="H7" i="24"/>
  <c r="G7" i="24"/>
  <c r="F7" i="24"/>
  <c r="E7" i="24"/>
  <c r="D7" i="24"/>
  <c r="C7" i="24"/>
  <c r="P9" i="24" l="1"/>
  <c r="C26" i="24"/>
  <c r="C27" i="24" s="1"/>
  <c r="P14" i="24"/>
  <c r="P13" i="24"/>
  <c r="P12" i="24"/>
  <c r="P11" i="24"/>
  <c r="P10" i="24"/>
  <c r="P8" i="24"/>
  <c r="E14" i="23"/>
  <c r="H20" i="24" l="1"/>
  <c r="H22" i="24" s="1"/>
  <c r="E28" i="23"/>
  <c r="I6" i="24"/>
  <c r="I9" i="24" s="1"/>
  <c r="H6" i="24"/>
  <c r="H9" i="24" s="1"/>
  <c r="G6" i="24"/>
  <c r="G9" i="24" s="1"/>
  <c r="F6" i="24"/>
  <c r="E6" i="24"/>
  <c r="E9" i="24" s="1"/>
  <c r="D6" i="24"/>
  <c r="D9" i="24" s="1"/>
  <c r="J6" i="24"/>
  <c r="J9" i="24" s="1"/>
  <c r="E32" i="23"/>
  <c r="D26" i="24"/>
  <c r="G20" i="24"/>
  <c r="G22" i="24" s="1"/>
  <c r="F9" i="24"/>
  <c r="C20" i="24"/>
  <c r="C22" i="24" s="1"/>
  <c r="J20" i="24"/>
  <c r="J22" i="24" s="1"/>
  <c r="C6" i="24"/>
  <c r="C9" i="24" s="1"/>
  <c r="D20" i="24"/>
  <c r="D22" i="24" s="1"/>
  <c r="E20" i="24"/>
  <c r="E22" i="24" s="1"/>
  <c r="I20" i="24"/>
  <c r="I22" i="24" s="1"/>
  <c r="F20" i="24"/>
  <c r="F22" i="24" s="1"/>
  <c r="E30" i="23" l="1"/>
  <c r="G11" i="24" s="1"/>
  <c r="G14" i="24" s="1"/>
  <c r="G16" i="24"/>
  <c r="G18" i="24" s="1"/>
  <c r="F16" i="24"/>
  <c r="F18" i="24" s="1"/>
  <c r="E16" i="24"/>
  <c r="E18" i="24" s="1"/>
  <c r="D16" i="24"/>
  <c r="D18" i="24" s="1"/>
  <c r="C16" i="24"/>
  <c r="C18" i="24" s="1"/>
  <c r="J16" i="24"/>
  <c r="J18" i="24" s="1"/>
  <c r="I16" i="24"/>
  <c r="I18" i="24" s="1"/>
  <c r="H16" i="24"/>
  <c r="H18" i="24" s="1"/>
  <c r="D27" i="24"/>
  <c r="E26" i="24"/>
  <c r="H11" i="24" l="1"/>
  <c r="H14" i="24" s="1"/>
  <c r="H24" i="24" s="1"/>
  <c r="I11" i="24"/>
  <c r="I14" i="24" s="1"/>
  <c r="I24" i="24" s="1"/>
  <c r="J11" i="24"/>
  <c r="J14" i="24" s="1"/>
  <c r="J24" i="24" s="1"/>
  <c r="D11" i="24"/>
  <c r="D14" i="24" s="1"/>
  <c r="D24" i="24" s="1"/>
  <c r="D29" i="24" s="1"/>
  <c r="D30" i="24" s="1"/>
  <c r="D32" i="24" s="1"/>
  <c r="E11" i="24"/>
  <c r="E14" i="24" s="1"/>
  <c r="E24" i="24" s="1"/>
  <c r="C11" i="24"/>
  <c r="C14" i="24" s="1"/>
  <c r="C24" i="24" s="1"/>
  <c r="F11" i="24"/>
  <c r="F14" i="24" s="1"/>
  <c r="F24" i="24" s="1"/>
  <c r="N26" i="24"/>
  <c r="G24" i="24"/>
  <c r="F26" i="24"/>
  <c r="E27" i="24"/>
  <c r="C29" i="24" l="1"/>
  <c r="C30" i="24" s="1"/>
  <c r="C32" i="24" s="1"/>
  <c r="M24" i="24"/>
  <c r="L24" i="24"/>
  <c r="N24" i="24"/>
  <c r="E29" i="24"/>
  <c r="E30" i="24" s="1"/>
  <c r="E32" i="24" s="1"/>
  <c r="N27" i="24"/>
  <c r="G26" i="24"/>
  <c r="M26" i="24" s="1"/>
  <c r="F27" i="24"/>
  <c r="F29" i="24" s="1"/>
  <c r="F30" i="24" s="1"/>
  <c r="F32" i="24" s="1"/>
  <c r="N32" i="24" l="1"/>
  <c r="I30" i="23" s="1"/>
  <c r="N29" i="24"/>
  <c r="N30" i="24"/>
  <c r="H26" i="24"/>
  <c r="G27" i="24"/>
  <c r="G29" i="24" l="1"/>
  <c r="G30" i="24" s="1"/>
  <c r="G32" i="24" s="1"/>
  <c r="M27" i="24"/>
  <c r="I26" i="24"/>
  <c r="H27" i="24"/>
  <c r="H29" i="24" s="1"/>
  <c r="H30" i="24" s="1"/>
  <c r="H32" i="24" s="1"/>
  <c r="M29" i="24" l="1"/>
  <c r="J26" i="24"/>
  <c r="I27" i="24"/>
  <c r="I29" i="24" s="1"/>
  <c r="I30" i="24" s="1"/>
  <c r="I32" i="24" s="1"/>
  <c r="M32" i="24" l="1"/>
  <c r="I27" i="23" s="1"/>
  <c r="J27" i="24"/>
  <c r="L26" i="24"/>
  <c r="M30" i="24"/>
  <c r="J29" i="24" l="1"/>
  <c r="J30" i="24" s="1"/>
  <c r="J32" i="24" s="1"/>
  <c r="L27" i="24"/>
  <c r="L32" i="24" l="1"/>
  <c r="I24" i="23" s="1"/>
  <c r="L29" i="24"/>
  <c r="L30"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Tranel,Jeffrey</author>
  </authors>
  <commentList>
    <comment ref="C10" authorId="0" shapeId="0" xr:uid="{2FD05763-E4AD-491E-83D0-EA67501E9B6F}">
      <text>
        <r>
          <rPr>
            <sz val="11"/>
            <color indexed="81"/>
            <rFont val="Tahoma"/>
            <family val="2"/>
          </rPr>
          <t>Enter the number of females that were exposed to breeding (bulls and/or artificial insemination) in the previous year.</t>
        </r>
        <r>
          <rPr>
            <sz val="9"/>
            <color indexed="81"/>
            <rFont val="Tahoma"/>
            <family val="2"/>
          </rPr>
          <t xml:space="preserve">
</t>
        </r>
      </text>
    </comment>
    <comment ref="C11" authorId="0" shapeId="0" xr:uid="{1D129AD4-27B0-4F15-98D6-313ABE4D5392}">
      <text>
        <r>
          <rPr>
            <sz val="11"/>
            <color indexed="81"/>
            <rFont val="Tahoma"/>
            <family val="2"/>
          </rPr>
          <t>Enter the number of breeding females that will be culled each year.</t>
        </r>
      </text>
    </comment>
    <comment ref="C13" authorId="0" shapeId="0" xr:uid="{D031013F-9F27-44D6-8E17-02FEB1B4DDB8}">
      <text>
        <r>
          <rPr>
            <sz val="11"/>
            <color indexed="81"/>
            <rFont val="Tahoma"/>
            <family val="2"/>
          </rPr>
          <t>Enter the total number of calves that are weaned.
The actual weaning rate provides the percentage of females that were exposed to breeding in the previous year that had a live calf at weaning.</t>
        </r>
      </text>
    </comment>
    <comment ref="I14" authorId="0" shapeId="0" xr:uid="{AF84C136-5355-4ECE-AAF6-C951B03D1F4B}">
      <text>
        <r>
          <rPr>
            <sz val="11"/>
            <color indexed="81"/>
            <rFont val="Tahoma"/>
            <family val="2"/>
          </rPr>
          <t>Enter the prices expected to be received for steer and heifer calves sold (per pound), culled yearling heifers (per head), and cull cows (per head) in each year.</t>
        </r>
      </text>
    </comment>
    <comment ref="C16" authorId="0" shapeId="0" xr:uid="{56C6A2C3-1262-4DA5-B8BF-66196B394EEE}">
      <text>
        <r>
          <rPr>
            <sz val="11"/>
            <color indexed="81"/>
            <rFont val="Tahoma"/>
            <family val="2"/>
          </rPr>
          <t>Enter the annual costs (on a per animal basis) to run each cow in the herd.
Annual cow costs should include the costs of pasture (owned and rented), labor, supplemental feed (including hay), veterinary and medicine, marketing, freight, fuel, depreciation, overhead, and all other direct costs of caring for the animal. It does not include cow ownership costs.</t>
        </r>
        <r>
          <rPr>
            <sz val="9"/>
            <color indexed="81"/>
            <rFont val="Tahoma"/>
            <family val="2"/>
          </rPr>
          <t xml:space="preserve">
</t>
        </r>
      </text>
    </comment>
    <comment ref="C17" authorId="0" shapeId="0" xr:uid="{3799A863-DAD5-4D5C-94D8-72559B6E2B49}">
      <text>
        <r>
          <rPr>
            <sz val="11"/>
            <color indexed="81"/>
            <rFont val="Tahoma"/>
            <family val="2"/>
          </rPr>
          <t>Enter a percentage increase for annual cow costs. The number will be held constant for all years in the analysis.</t>
        </r>
      </text>
    </comment>
    <comment ref="I17" authorId="0" shapeId="0" xr:uid="{74F6BA81-30B2-48F5-B7A9-E861C24C575A}">
      <text>
        <r>
          <rPr>
            <sz val="11"/>
            <color indexed="81"/>
            <rFont val="Tahoma"/>
            <family val="2"/>
          </rPr>
          <t>Enter the prices expected to be received for steer and heifer calves sold (per pound), culled yearling heifers (per head), and cull cows (per head) for years 4 through 8. This price will be held constant for each year.</t>
        </r>
      </text>
    </comment>
    <comment ref="C19" authorId="0" shapeId="0" xr:uid="{E6E80B1D-B64E-4B2A-85D3-23DAA2DF3710}">
      <text>
        <r>
          <rPr>
            <sz val="11"/>
            <color indexed="81"/>
            <rFont val="Tahoma"/>
            <family val="2"/>
          </rPr>
          <t>Enter the minimum annual return desired on your investment. This rate is used to discount future profits and calculate the maximum affordable purchase price for a bred cow. Higher rates produce lower affordability estimates.</t>
        </r>
      </text>
    </comment>
    <comment ref="C26" authorId="0" shapeId="0" xr:uid="{AF30EA36-396B-414E-9D50-CBF74767371F}">
      <text>
        <r>
          <rPr>
            <sz val="11"/>
            <color indexed="81"/>
            <rFont val="Tahoma"/>
            <family val="2"/>
          </rPr>
          <t>Enter the average weight - pounds per animal - for all steer calves at weaning. It is assumed that weaned calves will be sold to another owner or to another enterprise (e.g., backgrounding).</t>
        </r>
      </text>
    </comment>
    <comment ref="C29" authorId="0" shapeId="0" xr:uid="{FB6EA407-B3D0-4C7D-8D74-1D872FABFA71}">
      <text>
        <r>
          <rPr>
            <sz val="11"/>
            <color indexed="81"/>
            <rFont val="Tahoma"/>
            <family val="2"/>
          </rPr>
          <t>Enter the number of heifer calves that will be retained for use as replacement heifers. This number must be at least equal to the number of cows culled.
If the number of heifers retained as replacements is greater than the number of culled cows, the extra heifers will be culled and sold as yearling heifers.</t>
        </r>
      </text>
    </comment>
    <comment ref="C31" authorId="0" shapeId="0" xr:uid="{485CA7FD-DD2A-4E1C-9011-BDF09CA636A3}">
      <text>
        <r>
          <rPr>
            <sz val="11"/>
            <color indexed="81"/>
            <rFont val="Tahoma"/>
            <family val="2"/>
          </rPr>
          <t>Enter the average weight - pounds per animal - of the heifer calves to be sold at weaning. Do not include the weight of any heifers kept (retained ownership) as replacements.</t>
        </r>
      </text>
    </comment>
  </commentList>
</comments>
</file>

<file path=xl/sharedStrings.xml><?xml version="1.0" encoding="utf-8"?>
<sst xmlns="http://schemas.openxmlformats.org/spreadsheetml/2006/main" count="74" uniqueCount="61">
  <si>
    <t>Heifers</t>
  </si>
  <si>
    <t>Price</t>
  </si>
  <si>
    <t>Weight</t>
  </si>
  <si>
    <t>Year</t>
  </si>
  <si>
    <t>Actual Weaning Rate</t>
  </si>
  <si>
    <t>Replacement Rate</t>
  </si>
  <si>
    <t>Year 1</t>
  </si>
  <si>
    <t>Year 2</t>
  </si>
  <si>
    <t>Year 3</t>
  </si>
  <si>
    <t>Head Sold</t>
  </si>
  <si>
    <t>Total Income</t>
  </si>
  <si>
    <t>Weaned Heifers:</t>
  </si>
  <si>
    <t>Weaned Steers:</t>
  </si>
  <si>
    <t>Culled Yearling Heifers:</t>
  </si>
  <si>
    <t>Value Per Head</t>
  </si>
  <si>
    <t>Culled Cows:</t>
  </si>
  <si>
    <t>Total Revenues</t>
  </si>
  <si>
    <t>Annual Increase in "Cow Costs"</t>
  </si>
  <si>
    <t>Annual Cow Costs</t>
  </si>
  <si>
    <t>Total Annual Cow Costs</t>
  </si>
  <si>
    <t>Pre-Tax Profits (total)</t>
  </si>
  <si>
    <t>Pre-Tax Profits (per cow)</t>
  </si>
  <si>
    <t>Total</t>
  </si>
  <si>
    <t>8-Year Productive Life</t>
  </si>
  <si>
    <t>5-Year Productive Life</t>
  </si>
  <si>
    <t>3-Year Productive Life</t>
  </si>
  <si>
    <t xml:space="preserve">8 Yrs  </t>
  </si>
  <si>
    <t xml:space="preserve">5 Yrs  </t>
  </si>
  <si>
    <t xml:space="preserve">3 Yrs  </t>
  </si>
  <si>
    <t>Cows</t>
  </si>
  <si>
    <t>Number in Herd (hd)</t>
  </si>
  <si>
    <t>Average Annual "Cow Costs" (per hd)</t>
  </si>
  <si>
    <t>Calves</t>
  </si>
  <si>
    <t>Number Culled (hd)</t>
  </si>
  <si>
    <t>Total Number of Calves Weaned</t>
  </si>
  <si>
    <t>Steer Calves</t>
  </si>
  <si>
    <t>Number Weaned (hd)</t>
  </si>
  <si>
    <t>Heifer Calves</t>
  </si>
  <si>
    <t>Number Retained as Replacements (hd)</t>
  </si>
  <si>
    <t>Number Weaned and Sold (hd)</t>
  </si>
  <si>
    <t>Number Sold</t>
  </si>
  <si>
    <t>COW INFORMATION</t>
  </si>
  <si>
    <t>CALF INFORMATION</t>
  </si>
  <si>
    <t>OUTLOOK FOR MARKET PRICES</t>
  </si>
  <si>
    <t>Years 4-8</t>
  </si>
  <si>
    <t>Steer</t>
  </si>
  <si>
    <t>Heifer</t>
  </si>
  <si>
    <t>Yearling</t>
  </si>
  <si>
    <t>Cull</t>
  </si>
  <si>
    <t>($/lb)</t>
  </si>
  <si>
    <t>($/hd)</t>
  </si>
  <si>
    <t>Agricultural and Business Management Economists</t>
  </si>
  <si>
    <t>Average Selling Weight (lbs/hd)</t>
  </si>
  <si>
    <t>ESTIMATED MAXIMUM PURCHASE PRICE</t>
  </si>
  <si>
    <t>Desired Rate of Return</t>
  </si>
  <si>
    <t>Discounted Value</t>
  </si>
  <si>
    <t>Discount</t>
  </si>
  <si>
    <t>Factors</t>
  </si>
  <si>
    <t>Jeffrey E. Tranel and Jenny A. Beiermann</t>
  </si>
  <si>
    <r>
      <t xml:space="preserve">What Can You Afford to Pay 
for a Bred Cow? </t>
    </r>
    <r>
      <rPr>
        <sz val="12"/>
        <color rgb="FF008000"/>
        <rFont val="Arial Rounded MT Bold"/>
        <family val="2"/>
      </rPr>
      <t>v2609</t>
    </r>
  </si>
  <si>
    <t>Yearling Heifers Sold as Culls (hd)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</si>
</sst>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164" formatCode="&quot;$&quot;#,##0.00"/>
    <numFmt numFmtId="165" formatCode="&quot;$&quot;#,##0"/>
    <numFmt numFmtId="166" formatCode="0.0000"/>
    <numFmt numFmtId="167" formatCode="0_);[Red]\(0\)"/>
  </numFmts>
  <fonts count="17" x14ac:knownFonts="1">
    <font>
      <sz val="10"/>
      <name val="Arial"/>
    </font>
    <font>
      <sz val="10"/>
      <name val="Arial"/>
      <family val="2"/>
    </font>
    <font>
      <sz val="10"/>
      <name val="Calibri"/>
      <family val="2"/>
      <scheme val="minor"/>
    </font>
    <font>
      <sz val="11"/>
      <color indexed="12"/>
      <name val="Calibri"/>
      <family val="2"/>
      <scheme val="minor"/>
    </font>
    <font>
      <sz val="11"/>
      <name val="Calibri"/>
      <family val="2"/>
      <scheme val="minor"/>
    </font>
    <font>
      <b/>
      <sz val="10"/>
      <name val="Calibri"/>
      <family val="2"/>
      <scheme val="minor"/>
    </font>
    <font>
      <sz val="11"/>
      <color rgb="FF0000FF"/>
      <name val="Calibri"/>
      <family val="2"/>
      <scheme val="minor"/>
    </font>
    <font>
      <sz val="16"/>
      <color rgb="FF008000"/>
      <name val="Arial Rounded MT Bold"/>
      <family val="2"/>
    </font>
    <font>
      <sz val="11"/>
      <color indexed="81"/>
      <name val="Tahoma"/>
      <family val="2"/>
    </font>
    <font>
      <sz val="12"/>
      <color rgb="FF008000"/>
      <name val="Arial Rounded MT Bold"/>
      <family val="2"/>
    </font>
    <font>
      <sz val="11"/>
      <color theme="0"/>
      <name val="Calibri"/>
      <family val="2"/>
      <scheme val="minor"/>
    </font>
    <font>
      <sz val="9"/>
      <color indexed="81"/>
      <name val="Tahoma"/>
      <family val="2"/>
    </font>
    <font>
      <sz val="10"/>
      <color theme="0"/>
      <name val="Arial"/>
      <family val="2"/>
    </font>
    <font>
      <b/>
      <sz val="10"/>
      <color theme="0"/>
      <name val="Calibri"/>
      <family val="2"/>
      <scheme val="minor"/>
    </font>
    <font>
      <b/>
      <sz val="14"/>
      <name val="Arial"/>
      <family val="2"/>
    </font>
    <font>
      <b/>
      <sz val="10"/>
      <name val="Arial"/>
      <family val="2"/>
    </font>
    <font>
      <b/>
      <sz val="14"/>
      <color theme="0"/>
      <name val="Calibri"/>
      <family val="2"/>
      <scheme val="minor"/>
    </font>
  </fonts>
  <fills count="10">
    <fill>
      <patternFill patternType="none"/>
    </fill>
    <fill>
      <patternFill patternType="gray125"/>
    </fill>
    <fill>
      <patternFill patternType="solid">
        <fgColor rgb="FFFFFFCC"/>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008000"/>
        <bgColor indexed="64"/>
      </patternFill>
    </fill>
    <fill>
      <patternFill patternType="solid">
        <fgColor theme="6" tint="0.79998168889431442"/>
        <bgColor indexed="64"/>
      </patternFill>
    </fill>
    <fill>
      <patternFill patternType="solid">
        <fgColor theme="2" tint="-0.499984740745262"/>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0" fontId="0" fillId="0" borderId="0" xfId="0" applyAlignment="1">
      <alignment vertical="center"/>
    </xf>
    <xf numFmtId="0" fontId="3" fillId="2" borderId="11" xfId="0" applyFont="1" applyFill="1" applyBorder="1" applyAlignment="1" applyProtection="1">
      <alignment horizontal="center" vertical="center"/>
      <protection locked="0"/>
    </xf>
    <xf numFmtId="9" fontId="3" fillId="2" borderId="11" xfId="1" applyFont="1" applyFill="1" applyBorder="1" applyAlignment="1" applyProtection="1">
      <alignment horizontal="center" vertical="center"/>
      <protection locked="0"/>
    </xf>
    <xf numFmtId="165" fontId="3" fillId="2" borderId="11" xfId="0" applyNumberFormat="1" applyFont="1" applyFill="1" applyBorder="1" applyAlignment="1" applyProtection="1">
      <alignment horizontal="center" vertical="center"/>
      <protection locked="0"/>
    </xf>
    <xf numFmtId="38" fontId="3" fillId="2" borderId="11" xfId="0" applyNumberFormat="1" applyFont="1" applyFill="1" applyBorder="1" applyAlignment="1" applyProtection="1">
      <alignment horizontal="right" vertical="center"/>
      <protection locked="0"/>
    </xf>
    <xf numFmtId="0" fontId="2" fillId="0" borderId="0" xfId="0" applyFont="1" applyAlignment="1">
      <alignment vertical="center"/>
    </xf>
    <xf numFmtId="164" fontId="3" fillId="2" borderId="11" xfId="0" applyNumberFormat="1" applyFont="1" applyFill="1" applyBorder="1" applyAlignment="1" applyProtection="1">
      <alignment horizontal="center"/>
      <protection locked="0"/>
    </xf>
    <xf numFmtId="7" fontId="6" fillId="2" borderId="11" xfId="0" applyNumberFormat="1" applyFont="1" applyFill="1" applyBorder="1" applyAlignment="1" applyProtection="1">
      <alignment horizontal="center"/>
      <protection locked="0"/>
    </xf>
    <xf numFmtId="0" fontId="0" fillId="0" borderId="0" xfId="0" applyAlignment="1">
      <alignment horizontal="center" vertical="center"/>
    </xf>
    <xf numFmtId="0" fontId="7" fillId="0" borderId="0" xfId="0" applyFont="1" applyAlignment="1">
      <alignment vertical="top" wrapText="1"/>
    </xf>
    <xf numFmtId="0" fontId="4" fillId="0" borderId="0" xfId="0" applyFont="1" applyAlignment="1">
      <alignment wrapText="1"/>
    </xf>
    <xf numFmtId="0" fontId="2" fillId="5" borderId="0" xfId="0" applyFont="1" applyFill="1" applyAlignment="1">
      <alignment vertical="center"/>
    </xf>
    <xf numFmtId="0" fontId="2" fillId="5" borderId="9" xfId="0" applyFont="1" applyFill="1" applyBorder="1" applyAlignment="1">
      <alignment vertical="center"/>
    </xf>
    <xf numFmtId="0" fontId="2" fillId="5" borderId="9" xfId="0" applyFont="1" applyFill="1" applyBorder="1" applyAlignment="1">
      <alignment horizontal="center" vertical="center"/>
    </xf>
    <xf numFmtId="0" fontId="2" fillId="5" borderId="12" xfId="0" applyFont="1" applyFill="1" applyBorder="1" applyAlignment="1">
      <alignment horizontal="right" vertical="center"/>
    </xf>
    <xf numFmtId="0" fontId="2" fillId="5" borderId="0" xfId="0" applyFont="1" applyFill="1" applyAlignment="1">
      <alignment horizontal="left" vertical="center" indent="2"/>
    </xf>
    <xf numFmtId="38" fontId="2" fillId="5" borderId="0" xfId="0" applyNumberFormat="1" applyFont="1" applyFill="1" applyAlignment="1">
      <alignment vertical="center"/>
    </xf>
    <xf numFmtId="0" fontId="2" fillId="5" borderId="5" xfId="0" applyFont="1" applyFill="1" applyBorder="1" applyAlignment="1">
      <alignment horizontal="left" vertical="center" indent="2"/>
    </xf>
    <xf numFmtId="40" fontId="2" fillId="5" borderId="5" xfId="0" applyNumberFormat="1" applyFont="1" applyFill="1" applyBorder="1" applyAlignment="1">
      <alignment vertical="center"/>
    </xf>
    <xf numFmtId="38" fontId="2" fillId="5" borderId="5" xfId="0" applyNumberFormat="1" applyFont="1" applyFill="1" applyBorder="1" applyAlignment="1">
      <alignment vertical="center"/>
    </xf>
    <xf numFmtId="0" fontId="2" fillId="5" borderId="7" xfId="0" applyFont="1" applyFill="1" applyBorder="1" applyAlignment="1">
      <alignment vertical="center"/>
    </xf>
    <xf numFmtId="38" fontId="2" fillId="5" borderId="7" xfId="0" applyNumberFormat="1" applyFont="1" applyFill="1" applyBorder="1" applyAlignment="1">
      <alignment vertical="center"/>
    </xf>
    <xf numFmtId="0" fontId="5" fillId="5" borderId="0" xfId="0" applyFont="1" applyFill="1" applyAlignment="1">
      <alignment vertical="center"/>
    </xf>
    <xf numFmtId="38" fontId="5" fillId="5" borderId="0" xfId="0" applyNumberFormat="1" applyFont="1" applyFill="1" applyAlignment="1">
      <alignment vertical="center"/>
    </xf>
    <xf numFmtId="0" fontId="2" fillId="0" borderId="0" xfId="0" applyFont="1" applyAlignment="1">
      <alignment horizontal="left" vertical="center"/>
    </xf>
    <xf numFmtId="166" fontId="2" fillId="6" borderId="0" xfId="0" applyNumberFormat="1" applyFont="1" applyFill="1" applyAlignment="1">
      <alignment horizontal="center" vertical="center"/>
    </xf>
    <xf numFmtId="0" fontId="12" fillId="3" borderId="0" xfId="0" applyFont="1" applyFill="1" applyAlignment="1">
      <alignment vertical="center"/>
    </xf>
    <xf numFmtId="0" fontId="10" fillId="3" borderId="0" xfId="0" applyFont="1" applyFill="1" applyAlignment="1">
      <alignment vertical="center"/>
    </xf>
    <xf numFmtId="0" fontId="4" fillId="0" borderId="0" xfId="0" applyFont="1" applyAlignment="1">
      <alignment vertical="center"/>
    </xf>
    <xf numFmtId="0" fontId="4" fillId="3" borderId="0" xfId="0" applyFont="1" applyFill="1" applyAlignment="1">
      <alignment vertical="center"/>
    </xf>
    <xf numFmtId="0" fontId="0" fillId="4" borderId="1" xfId="0"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4" fillId="4" borderId="1" xfId="0" applyFont="1" applyFill="1" applyBorder="1" applyAlignment="1">
      <alignment vertical="center"/>
    </xf>
    <xf numFmtId="0" fontId="0" fillId="4" borderId="4" xfId="0" applyFill="1" applyBorder="1" applyAlignment="1">
      <alignment vertical="center"/>
    </xf>
    <xf numFmtId="0" fontId="4" fillId="4" borderId="0" xfId="0" applyFont="1" applyFill="1" applyAlignment="1">
      <alignment horizontal="left" vertical="center"/>
    </xf>
    <xf numFmtId="0" fontId="4" fillId="4" borderId="6" xfId="0" applyFont="1" applyFill="1" applyBorder="1" applyAlignment="1">
      <alignment vertical="center"/>
    </xf>
    <xf numFmtId="0" fontId="4" fillId="4" borderId="4" xfId="0" applyFont="1" applyFill="1" applyBorder="1" applyAlignment="1">
      <alignment vertical="center"/>
    </xf>
    <xf numFmtId="0" fontId="4" fillId="4" borderId="0" xfId="0" applyFont="1" applyFill="1" applyAlignment="1">
      <alignment vertical="center"/>
    </xf>
    <xf numFmtId="0" fontId="4" fillId="4" borderId="0" xfId="0" applyFont="1" applyFill="1" applyAlignment="1">
      <alignment horizontal="center" vertical="center"/>
    </xf>
    <xf numFmtId="38" fontId="4" fillId="4" borderId="0" xfId="0" applyNumberFormat="1" applyFont="1" applyFill="1" applyAlignment="1">
      <alignment vertical="center"/>
    </xf>
    <xf numFmtId="0" fontId="4" fillId="4" borderId="5" xfId="0" applyFont="1" applyFill="1" applyBorder="1" applyAlignment="1">
      <alignment vertical="center"/>
    </xf>
    <xf numFmtId="0" fontId="4" fillId="4" borderId="5" xfId="0" applyFont="1" applyFill="1" applyBorder="1" applyAlignment="1">
      <alignment horizontal="center" vertical="center"/>
    </xf>
    <xf numFmtId="0" fontId="0" fillId="4" borderId="8" xfId="0"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0" fontId="4" fillId="4" borderId="8" xfId="0" applyFont="1" applyFill="1" applyBorder="1" applyAlignment="1">
      <alignment vertical="center"/>
    </xf>
    <xf numFmtId="0" fontId="4" fillId="4" borderId="0" xfId="0" applyFont="1" applyFill="1" applyAlignment="1">
      <alignment horizontal="left" vertical="center" indent="1"/>
    </xf>
    <xf numFmtId="0" fontId="0" fillId="7" borderId="0" xfId="0" applyFill="1" applyAlignment="1">
      <alignment vertical="center"/>
    </xf>
    <xf numFmtId="6" fontId="14" fillId="8" borderId="0" xfId="0" applyNumberFormat="1" applyFont="1" applyFill="1" applyAlignment="1">
      <alignment horizontal="center" vertical="center"/>
    </xf>
    <xf numFmtId="0" fontId="1" fillId="8" borderId="1" xfId="0" applyFont="1" applyFill="1" applyBorder="1" applyAlignment="1">
      <alignment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1" fillId="8" borderId="4" xfId="0" applyFont="1" applyFill="1" applyBorder="1" applyAlignment="1">
      <alignment vertical="center"/>
    </xf>
    <xf numFmtId="0" fontId="14" fillId="8" borderId="0" xfId="0" applyFont="1" applyFill="1" applyAlignment="1">
      <alignment horizontal="left" vertical="center"/>
    </xf>
    <xf numFmtId="0" fontId="1" fillId="8" borderId="6" xfId="0" applyFont="1" applyFill="1" applyBorder="1" applyAlignment="1">
      <alignment vertical="center"/>
    </xf>
    <xf numFmtId="0" fontId="15" fillId="8" borderId="0" xfId="0" applyFont="1" applyFill="1" applyAlignment="1">
      <alignment vertical="center"/>
    </xf>
    <xf numFmtId="0" fontId="1" fillId="8" borderId="8" xfId="0" applyFont="1" applyFill="1" applyBorder="1" applyAlignment="1">
      <alignment vertical="center"/>
    </xf>
    <xf numFmtId="0" fontId="1" fillId="8" borderId="9" xfId="0" applyFont="1" applyFill="1" applyBorder="1" applyAlignment="1">
      <alignment vertical="center"/>
    </xf>
    <xf numFmtId="0" fontId="1" fillId="8" borderId="10" xfId="0" applyFont="1" applyFill="1" applyBorder="1" applyAlignment="1">
      <alignment vertical="center"/>
    </xf>
    <xf numFmtId="9" fontId="3" fillId="4" borderId="0" xfId="1" applyFont="1" applyFill="1" applyBorder="1" applyAlignment="1" applyProtection="1">
      <alignment horizontal="center" vertical="center"/>
      <protection locked="0"/>
    </xf>
    <xf numFmtId="9" fontId="4" fillId="4" borderId="0" xfId="1" applyFont="1" applyFill="1" applyBorder="1" applyAlignment="1" applyProtection="1">
      <alignment horizontal="center" vertical="center"/>
    </xf>
    <xf numFmtId="38" fontId="6" fillId="2" borderId="11" xfId="0" applyNumberFormat="1" applyFont="1" applyFill="1" applyBorder="1" applyAlignment="1" applyProtection="1">
      <alignment horizontal="center" vertical="center"/>
      <protection locked="0"/>
    </xf>
    <xf numFmtId="0" fontId="13" fillId="9" borderId="0" xfId="0" applyFont="1" applyFill="1" applyAlignment="1">
      <alignment horizontal="center" vertical="center"/>
    </xf>
    <xf numFmtId="167" fontId="5" fillId="5" borderId="0" xfId="0" applyNumberFormat="1" applyFont="1" applyFill="1" applyAlignment="1">
      <alignment vertical="center"/>
    </xf>
    <xf numFmtId="0" fontId="7" fillId="0" borderId="0" xfId="0" applyFont="1" applyAlignment="1">
      <alignment horizontal="center" vertical="top" wrapText="1"/>
    </xf>
    <xf numFmtId="0" fontId="14" fillId="8" borderId="0" xfId="0" applyFont="1" applyFill="1" applyAlignment="1">
      <alignment horizontal="left" vertical="center"/>
    </xf>
    <xf numFmtId="6" fontId="14" fillId="8" borderId="0" xfId="0" applyNumberFormat="1" applyFont="1" applyFill="1" applyAlignment="1">
      <alignment horizontal="center" vertical="center"/>
    </xf>
    <xf numFmtId="0" fontId="2" fillId="5" borderId="5" xfId="0" applyFont="1" applyFill="1" applyBorder="1" applyAlignment="1">
      <alignment horizontal="center" vertical="center"/>
    </xf>
    <xf numFmtId="0" fontId="16" fillId="3" borderId="0" xfId="0" applyFont="1" applyFill="1" applyAlignment="1">
      <alignment horizontal="center" vertical="center"/>
    </xf>
    <xf numFmtId="0" fontId="16" fillId="3" borderId="9" xfId="0" applyFont="1" applyFill="1" applyBorder="1" applyAlignment="1">
      <alignment horizontal="center" vertical="center"/>
    </xf>
    <xf numFmtId="0" fontId="16" fillId="7" borderId="0" xfId="0" applyFont="1" applyFill="1" applyAlignment="1">
      <alignment horizontal="center" vertical="center"/>
    </xf>
    <xf numFmtId="0" fontId="14" fillId="8" borderId="0" xfId="0" applyFont="1" applyFill="1" applyAlignment="1">
      <alignment vertical="center"/>
    </xf>
  </cellXfs>
  <cellStyles count="2">
    <cellStyle name="Normal" xfId="0" builtinId="0"/>
    <cellStyle name="Percent" xfId="1" builtinId="5"/>
  </cellStyles>
  <dxfs count="0"/>
  <tableStyles count="0" defaultTableStyle="TableStyleMedium9" defaultPivotStyle="PivotStyleLight16"/>
  <colors>
    <mruColors>
      <color rgb="FF0000FF"/>
      <color rgb="FFFFFFCC"/>
      <color rgb="FF008000"/>
      <color rgb="FF006600"/>
      <color rgb="FF00FF00"/>
      <color rgb="FF00FF9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9524</xdr:rowOff>
    </xdr:from>
    <xdr:to>
      <xdr:col>8</xdr:col>
      <xdr:colOff>583013</xdr:colOff>
      <xdr:row>6</xdr:row>
      <xdr:rowOff>247650</xdr:rowOff>
    </xdr:to>
    <xdr:pic>
      <xdr:nvPicPr>
        <xdr:cNvPr id="4" name="Picture 3">
          <a:extLst>
            <a:ext uri="{FF2B5EF4-FFF2-40B4-BE49-F238E27FC236}">
              <a16:creationId xmlns:a16="http://schemas.microsoft.com/office/drawing/2014/main" id="{6CF92330-04E6-7D4E-7282-C43D68F0B3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200024"/>
          <a:ext cx="4621613" cy="1304926"/>
        </a:xfrm>
        <a:prstGeom prst="rect">
          <a:avLst/>
        </a:prstGeom>
      </xdr:spPr>
    </xdr:pic>
    <xdr:clientData/>
  </xdr:twoCellAnchor>
  <xdr:twoCellAnchor>
    <xdr:from>
      <xdr:col>16</xdr:col>
      <xdr:colOff>0</xdr:colOff>
      <xdr:row>1</xdr:row>
      <xdr:rowOff>19050</xdr:rowOff>
    </xdr:from>
    <xdr:to>
      <xdr:col>23</xdr:col>
      <xdr:colOff>257175</xdr:colOff>
      <xdr:row>33</xdr:row>
      <xdr:rowOff>0</xdr:rowOff>
    </xdr:to>
    <xdr:sp macro="" textlink="">
      <xdr:nvSpPr>
        <xdr:cNvPr id="5" name="Rectangle: Rounded Corners 4">
          <a:extLst>
            <a:ext uri="{FF2B5EF4-FFF2-40B4-BE49-F238E27FC236}">
              <a16:creationId xmlns:a16="http://schemas.microsoft.com/office/drawing/2014/main" id="{899C4297-33D9-4A24-889E-256D8F7A9E7F}"/>
            </a:ext>
          </a:extLst>
        </xdr:cNvPr>
        <xdr:cNvSpPr/>
      </xdr:nvSpPr>
      <xdr:spPr>
        <a:xfrm>
          <a:off x="9334500" y="209550"/>
          <a:ext cx="5257800" cy="5810250"/>
        </a:xfrm>
        <a:prstGeom prst="roundRect">
          <a:avLst>
            <a:gd name="adj" fmla="val 7193"/>
          </a:avLst>
        </a:prstGeom>
        <a:solidFill>
          <a:schemeClr val="accent1">
            <a:lumMod val="20000"/>
            <a:lumOff val="80000"/>
          </a:schemeClr>
        </a:solidFill>
        <a:ln w="57150">
          <a:solidFill>
            <a:srgbClr val="0000FF"/>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b="0">
              <a:solidFill>
                <a:sysClr val="windowText" lastClr="000000"/>
              </a:solidFill>
            </a:rPr>
            <a:t>This ABM Decision Tool is designed to help beef cattle owners evaluate the</a:t>
          </a:r>
          <a:r>
            <a:rPr lang="en-US" sz="1200" b="0" baseline="0">
              <a:solidFill>
                <a:sysClr val="windowText" lastClr="000000"/>
              </a:solidFill>
            </a:rPr>
            <a:t> price they should pay for a bred beef cow. This tool is for educational purposes, and producers should seek appropriate counsel from their lender, accountant, attorney, and/or other professional advisor.</a:t>
          </a:r>
        </a:p>
        <a:p>
          <a:pPr algn="ctr"/>
          <a:endParaRPr lang="en-US" sz="1200" b="0" baseline="0">
            <a:solidFill>
              <a:sysClr val="windowText" lastClr="000000"/>
            </a:solidFill>
          </a:endParaRPr>
        </a:p>
        <a:p>
          <a:pPr algn="ctr"/>
          <a:r>
            <a:rPr lang="en-US" sz="1200" b="0" baseline="0">
              <a:solidFill>
                <a:sysClr val="windowText" lastClr="000000"/>
              </a:solidFill>
            </a:rPr>
            <a:t>This template, like all other ABM Decision Tools and resources are available at</a:t>
          </a:r>
        </a:p>
        <a:p>
          <a:pPr algn="ctr"/>
          <a:r>
            <a:rPr lang="en-US" sz="1200" b="0" baseline="0">
              <a:solidFill>
                <a:sysClr val="windowText" lastClr="000000"/>
              </a:solidFill>
            </a:rPr>
            <a:t>https://ABM.extension.colostate.edu</a:t>
          </a:r>
          <a:endParaRPr lang="en-US" sz="1200" b="0">
            <a:solidFill>
              <a:sysClr val="windowText" lastClr="000000"/>
            </a:solidFill>
          </a:endParaRPr>
        </a:p>
        <a:p>
          <a:pPr algn="ctr"/>
          <a:endParaRPr lang="en-US" sz="1200" b="1">
            <a:solidFill>
              <a:sysClr val="windowText" lastClr="000000"/>
            </a:solidFill>
          </a:endParaRPr>
        </a:p>
        <a:p>
          <a:pPr algn="ctr"/>
          <a:endParaRPr lang="en-US" sz="1200" b="1">
            <a:solidFill>
              <a:sysClr val="windowText" lastClr="000000"/>
            </a:solidFill>
          </a:endParaRPr>
        </a:p>
        <a:p>
          <a:pPr algn="ctr"/>
          <a:r>
            <a:rPr lang="en-US" sz="1200" b="1">
              <a:solidFill>
                <a:srgbClr val="0000FF"/>
              </a:solidFill>
            </a:rPr>
            <a:t>Enter data in all cells with blue colored font on a pale</a:t>
          </a:r>
          <a:r>
            <a:rPr lang="en-US" sz="1200" b="1" baseline="0">
              <a:solidFill>
                <a:srgbClr val="0000FF"/>
              </a:solidFill>
            </a:rPr>
            <a:t> yellow background.</a:t>
          </a:r>
          <a:endParaRPr lang="en-US" sz="1200" b="1">
            <a:solidFill>
              <a:srgbClr val="0000FF"/>
            </a:solidFill>
          </a:endParaRPr>
        </a:p>
        <a:p>
          <a:pPr algn="l"/>
          <a:endParaRPr lang="en-US" sz="1200">
            <a:solidFill>
              <a:sysClr val="windowText" lastClr="000000"/>
            </a:solidFill>
          </a:endParaRPr>
        </a:p>
        <a:p>
          <a:pPr algn="l"/>
          <a:endParaRPr lang="en-US" sz="1200" baseline="0">
            <a:solidFill>
              <a:sysClr val="windowText" lastClr="000000"/>
            </a:solidFill>
          </a:endParaRPr>
        </a:p>
        <a:p>
          <a:pPr algn="l"/>
          <a:r>
            <a:rPr lang="en-US" sz="1200" baseline="0">
              <a:solidFill>
                <a:sysClr val="windowText" lastClr="000000"/>
              </a:solidFill>
            </a:rPr>
            <a:t>Information about any specific data entry or computation can be found by placing the cursor on the cell having a red triangle in the top right corner. A text box will then appear.</a:t>
          </a:r>
        </a:p>
        <a:p>
          <a:pPr algn="l"/>
          <a:endParaRPr lang="en-US" sz="1200" baseline="0">
            <a:solidFill>
              <a:sysClr val="windowText" lastClr="000000"/>
            </a:solidFill>
          </a:endParaRPr>
        </a:p>
        <a:p>
          <a:pPr algn="l"/>
          <a:endParaRPr lang="en-US" sz="1200" baseline="0">
            <a:solidFill>
              <a:sysClr val="windowText" lastClr="000000"/>
            </a:solidFill>
          </a:endParaRPr>
        </a:p>
        <a:p>
          <a:pPr algn="l"/>
          <a:r>
            <a:rPr lang="en-US" sz="1200" b="1" baseline="0">
              <a:solidFill>
                <a:sysClr val="windowText" lastClr="000000"/>
              </a:solidFill>
            </a:rPr>
            <a:t>Estimated Maximum Purchase Price?</a:t>
          </a:r>
        </a:p>
        <a:p>
          <a:pPr algn="l"/>
          <a:r>
            <a:rPr lang="en-US" sz="1200" b="0" baseline="0">
              <a:solidFill>
                <a:sysClr val="windowText" lastClr="000000"/>
              </a:solidFill>
            </a:rPr>
            <a:t>Based on the information you entered, the price you can afford to pay for a bred cow will be computed for a cow's 8-year, 5-year, and 3-year productive life. The price is based on future profits generated per cow in the herd for each period of productive life. It is to be noted that all values do not include any tax liabilities that might be owed on annual profits and capital gains.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A00F7-0AEA-4DA2-B246-CE6AA8A41B90}">
  <sheetPr>
    <pageSetUpPr fitToPage="1"/>
  </sheetPr>
  <dimension ref="A2:R33"/>
  <sheetViews>
    <sheetView showGridLines="0" tabSelected="1" workbookViewId="0"/>
  </sheetViews>
  <sheetFormatPr defaultColWidth="8.85546875" defaultRowHeight="15" customHeight="1" x14ac:dyDescent="0.2"/>
  <cols>
    <col min="1" max="1" width="4.7109375" style="1" customWidth="1"/>
    <col min="2" max="2" width="1.7109375" style="1" customWidth="1"/>
    <col min="3" max="3" width="38.7109375" style="1" customWidth="1"/>
    <col min="4" max="4" width="1.7109375" style="1" customWidth="1"/>
    <col min="5" max="5" width="10.7109375" style="1" customWidth="1"/>
    <col min="6" max="6" width="1.7109375" style="1" customWidth="1"/>
    <col min="7" max="7" width="4.7109375" style="1" customWidth="1"/>
    <col min="8" max="8" width="1.7109375" style="1" customWidth="1"/>
    <col min="9" max="9" width="10.7109375" style="1" customWidth="1"/>
    <col min="10" max="10" width="5.7109375" style="1" customWidth="1"/>
    <col min="11" max="14" width="10.7109375" style="1" customWidth="1"/>
    <col min="15" max="15" width="1.7109375" style="1" customWidth="1"/>
    <col min="16" max="16" width="13.7109375" style="1" customWidth="1"/>
    <col min="17" max="26" width="10.7109375" style="1" customWidth="1"/>
    <col min="27" max="16384" width="8.85546875" style="1"/>
  </cols>
  <sheetData>
    <row r="2" spans="2:18" ht="15" customHeight="1" x14ac:dyDescent="0.2">
      <c r="J2" s="66" t="s">
        <v>59</v>
      </c>
      <c r="K2" s="66"/>
      <c r="L2" s="66"/>
      <c r="M2" s="66"/>
      <c r="N2" s="66"/>
      <c r="Q2" s="10"/>
      <c r="R2" s="10"/>
    </row>
    <row r="3" spans="2:18" ht="15" customHeight="1" x14ac:dyDescent="0.25">
      <c r="I3" s="10"/>
      <c r="J3" s="66"/>
      <c r="K3" s="66"/>
      <c r="L3" s="66"/>
      <c r="M3" s="66"/>
      <c r="N3" s="66"/>
      <c r="P3" s="11"/>
      <c r="Q3" s="11"/>
      <c r="R3" s="11"/>
    </row>
    <row r="4" spans="2:18" ht="15" customHeight="1" x14ac:dyDescent="0.25">
      <c r="I4" s="10"/>
      <c r="J4" s="66"/>
      <c r="K4" s="66"/>
      <c r="L4" s="66"/>
      <c r="M4" s="66"/>
      <c r="N4" s="66"/>
      <c r="P4" s="11"/>
      <c r="Q4" s="11"/>
      <c r="R4" s="11"/>
    </row>
    <row r="5" spans="2:18" ht="20.100000000000001" customHeight="1" x14ac:dyDescent="0.2">
      <c r="J5" s="29" t="s">
        <v>58</v>
      </c>
      <c r="K5" s="29"/>
      <c r="L5" s="29"/>
      <c r="M5" s="29"/>
      <c r="N5" s="29"/>
    </row>
    <row r="6" spans="2:18" ht="20.100000000000001" customHeight="1" x14ac:dyDescent="0.2">
      <c r="J6" s="29" t="s">
        <v>51</v>
      </c>
      <c r="K6" s="29"/>
      <c r="L6" s="29"/>
      <c r="M6" s="29"/>
      <c r="N6" s="29"/>
    </row>
    <row r="7" spans="2:18" ht="30" customHeight="1" x14ac:dyDescent="0.2"/>
    <row r="8" spans="2:18" ht="30" customHeight="1" thickBot="1" x14ac:dyDescent="0.25">
      <c r="B8" s="27"/>
      <c r="C8" s="70" t="s">
        <v>41</v>
      </c>
      <c r="D8" s="70"/>
      <c r="E8" s="70"/>
      <c r="F8" s="28"/>
      <c r="G8" s="29"/>
      <c r="H8" s="30"/>
      <c r="I8" s="70" t="s">
        <v>43</v>
      </c>
      <c r="J8" s="70"/>
      <c r="K8" s="70"/>
      <c r="L8" s="70"/>
      <c r="M8" s="70"/>
      <c r="N8" s="70"/>
      <c r="O8" s="30"/>
    </row>
    <row r="9" spans="2:18" ht="9.9499999999999993" customHeight="1" x14ac:dyDescent="0.2">
      <c r="B9" s="31"/>
      <c r="C9" s="32"/>
      <c r="D9" s="32"/>
      <c r="E9" s="32"/>
      <c r="F9" s="33"/>
      <c r="G9" s="29"/>
      <c r="H9" s="34"/>
      <c r="I9" s="32"/>
      <c r="J9" s="32"/>
      <c r="K9" s="32"/>
      <c r="L9" s="32"/>
      <c r="M9" s="32"/>
      <c r="N9" s="32"/>
      <c r="O9" s="33"/>
    </row>
    <row r="10" spans="2:18" ht="15" customHeight="1" x14ac:dyDescent="0.2">
      <c r="B10" s="35"/>
      <c r="C10" s="36" t="s">
        <v>30</v>
      </c>
      <c r="D10" s="36"/>
      <c r="E10" s="2">
        <v>250</v>
      </c>
      <c r="F10" s="37"/>
      <c r="G10" s="29"/>
      <c r="H10" s="38"/>
      <c r="I10" s="39"/>
      <c r="J10" s="39"/>
      <c r="K10" s="40" t="s">
        <v>45</v>
      </c>
      <c r="L10" s="40" t="s">
        <v>46</v>
      </c>
      <c r="M10" s="40" t="s">
        <v>47</v>
      </c>
      <c r="N10" s="40" t="s">
        <v>48</v>
      </c>
      <c r="O10" s="37"/>
    </row>
    <row r="11" spans="2:18" ht="15" customHeight="1" x14ac:dyDescent="0.2">
      <c r="B11" s="35"/>
      <c r="C11" s="36" t="s">
        <v>33</v>
      </c>
      <c r="D11" s="36"/>
      <c r="E11" s="63">
        <v>30</v>
      </c>
      <c r="F11" s="37"/>
      <c r="G11" s="29"/>
      <c r="H11" s="38"/>
      <c r="I11" s="39"/>
      <c r="J11" s="39"/>
      <c r="K11" s="40" t="s">
        <v>32</v>
      </c>
      <c r="L11" s="40" t="s">
        <v>32</v>
      </c>
      <c r="M11" s="40" t="s">
        <v>0</v>
      </c>
      <c r="N11" s="40" t="s">
        <v>29</v>
      </c>
      <c r="O11" s="37"/>
    </row>
    <row r="12" spans="2:18" ht="15" customHeight="1" x14ac:dyDescent="0.2">
      <c r="B12" s="35"/>
      <c r="C12" s="36" t="s">
        <v>5</v>
      </c>
      <c r="D12" s="36"/>
      <c r="E12" s="62">
        <f>E11/E10</f>
        <v>0.12</v>
      </c>
      <c r="F12" s="37"/>
      <c r="G12" s="29"/>
      <c r="H12" s="38"/>
      <c r="I12" s="42"/>
      <c r="J12" s="42"/>
      <c r="K12" s="43" t="s">
        <v>49</v>
      </c>
      <c r="L12" s="43" t="s">
        <v>49</v>
      </c>
      <c r="M12" s="43" t="s">
        <v>50</v>
      </c>
      <c r="N12" s="43" t="s">
        <v>50</v>
      </c>
      <c r="O12" s="37"/>
    </row>
    <row r="13" spans="2:18" ht="15" customHeight="1" x14ac:dyDescent="0.2">
      <c r="B13" s="35"/>
      <c r="C13" s="36" t="s">
        <v>34</v>
      </c>
      <c r="D13" s="36"/>
      <c r="E13" s="2">
        <v>229</v>
      </c>
      <c r="F13" s="37"/>
      <c r="G13" s="29"/>
      <c r="H13" s="38"/>
      <c r="I13" s="39"/>
      <c r="J13" s="39"/>
      <c r="K13" s="39"/>
      <c r="L13" s="39"/>
      <c r="M13" s="39"/>
      <c r="N13" s="39"/>
      <c r="O13" s="37"/>
    </row>
    <row r="14" spans="2:18" ht="15" customHeight="1" x14ac:dyDescent="0.25">
      <c r="B14" s="35"/>
      <c r="C14" s="36" t="s">
        <v>4</v>
      </c>
      <c r="D14" s="36"/>
      <c r="E14" s="62">
        <f>E13/E10</f>
        <v>0.91600000000000004</v>
      </c>
      <c r="F14" s="37"/>
      <c r="G14" s="29"/>
      <c r="H14" s="38"/>
      <c r="I14" s="39" t="s">
        <v>6</v>
      </c>
      <c r="J14" s="39"/>
      <c r="K14" s="7">
        <v>3.5</v>
      </c>
      <c r="L14" s="8">
        <v>3.2</v>
      </c>
      <c r="M14" s="4">
        <v>1600</v>
      </c>
      <c r="N14" s="4">
        <v>1800</v>
      </c>
      <c r="O14" s="37"/>
    </row>
    <row r="15" spans="2:18" ht="15" customHeight="1" x14ac:dyDescent="0.25">
      <c r="B15" s="35"/>
      <c r="C15" s="39"/>
      <c r="D15" s="39"/>
      <c r="E15" s="39"/>
      <c r="F15" s="37"/>
      <c r="G15" s="29"/>
      <c r="H15" s="38"/>
      <c r="I15" s="39" t="s">
        <v>7</v>
      </c>
      <c r="J15" s="39"/>
      <c r="K15" s="7">
        <v>3.5</v>
      </c>
      <c r="L15" s="8">
        <v>3.2</v>
      </c>
      <c r="M15" s="4">
        <v>1600</v>
      </c>
      <c r="N15" s="4">
        <v>1800</v>
      </c>
      <c r="O15" s="37"/>
    </row>
    <row r="16" spans="2:18" ht="15" customHeight="1" x14ac:dyDescent="0.25">
      <c r="B16" s="35"/>
      <c r="C16" s="36" t="s">
        <v>31</v>
      </c>
      <c r="D16" s="36"/>
      <c r="E16" s="4">
        <v>1300</v>
      </c>
      <c r="F16" s="37"/>
      <c r="G16" s="29"/>
      <c r="H16" s="38"/>
      <c r="I16" s="39" t="s">
        <v>8</v>
      </c>
      <c r="J16" s="39"/>
      <c r="K16" s="7">
        <v>3.4</v>
      </c>
      <c r="L16" s="8">
        <v>3.1</v>
      </c>
      <c r="M16" s="4">
        <v>1600</v>
      </c>
      <c r="N16" s="4">
        <v>1800</v>
      </c>
      <c r="O16" s="37"/>
    </row>
    <row r="17" spans="1:16" ht="15" customHeight="1" x14ac:dyDescent="0.25">
      <c r="B17" s="35"/>
      <c r="C17" s="36" t="s">
        <v>17</v>
      </c>
      <c r="D17" s="36"/>
      <c r="E17" s="3">
        <v>0</v>
      </c>
      <c r="F17" s="37"/>
      <c r="G17" s="29"/>
      <c r="H17" s="38"/>
      <c r="I17" s="39" t="s">
        <v>44</v>
      </c>
      <c r="J17" s="39"/>
      <c r="K17" s="7">
        <v>3.1</v>
      </c>
      <c r="L17" s="8">
        <v>2.9</v>
      </c>
      <c r="M17" s="4">
        <v>1600</v>
      </c>
      <c r="N17" s="4">
        <v>1800</v>
      </c>
      <c r="O17" s="37"/>
    </row>
    <row r="18" spans="1:16" ht="15" customHeight="1" x14ac:dyDescent="0.2">
      <c r="B18" s="35"/>
      <c r="C18" s="36"/>
      <c r="D18" s="36"/>
      <c r="E18" s="61"/>
      <c r="F18" s="37"/>
      <c r="G18" s="29"/>
      <c r="H18" s="38"/>
      <c r="I18" s="39"/>
      <c r="J18" s="39"/>
      <c r="K18" s="39"/>
      <c r="L18" s="39"/>
      <c r="M18" s="39"/>
      <c r="N18" s="39"/>
      <c r="O18" s="37"/>
    </row>
    <row r="19" spans="1:16" ht="15" customHeight="1" x14ac:dyDescent="0.2">
      <c r="B19" s="35"/>
      <c r="C19" s="36" t="s">
        <v>54</v>
      </c>
      <c r="D19" s="36"/>
      <c r="E19" s="3">
        <v>0.04</v>
      </c>
      <c r="F19" s="37"/>
      <c r="G19" s="29"/>
      <c r="H19" s="38"/>
      <c r="I19" s="39"/>
      <c r="J19" s="39"/>
      <c r="K19" s="39"/>
      <c r="L19" s="39"/>
      <c r="M19" s="39"/>
      <c r="N19" s="39"/>
      <c r="O19" s="37"/>
    </row>
    <row r="20" spans="1:16" ht="9.9499999999999993" customHeight="1" thickBot="1" x14ac:dyDescent="0.25">
      <c r="B20" s="44"/>
      <c r="C20" s="45"/>
      <c r="D20" s="45"/>
      <c r="E20" s="45"/>
      <c r="F20" s="46"/>
      <c r="G20" s="29"/>
      <c r="H20" s="47"/>
      <c r="I20" s="45"/>
      <c r="J20" s="45"/>
      <c r="K20" s="45"/>
      <c r="L20" s="45"/>
      <c r="M20" s="45"/>
      <c r="N20" s="45"/>
      <c r="O20" s="46"/>
    </row>
    <row r="21" spans="1:16" ht="9.9499999999999993" customHeight="1" x14ac:dyDescent="0.2">
      <c r="G21" s="29"/>
    </row>
    <row r="22" spans="1:16" ht="30" customHeight="1" thickBot="1" x14ac:dyDescent="0.25">
      <c r="A22" s="29"/>
      <c r="B22" s="30"/>
      <c r="C22" s="71" t="s">
        <v>42</v>
      </c>
      <c r="D22" s="71"/>
      <c r="E22" s="71"/>
      <c r="F22" s="30"/>
      <c r="H22" s="49"/>
      <c r="I22" s="72" t="s">
        <v>53</v>
      </c>
      <c r="J22" s="72"/>
      <c r="K22" s="72"/>
      <c r="L22" s="72"/>
      <c r="M22" s="72"/>
      <c r="N22" s="72"/>
      <c r="O22" s="49"/>
    </row>
    <row r="23" spans="1:16" ht="9.9499999999999993" customHeight="1" x14ac:dyDescent="0.2">
      <c r="A23" s="29"/>
      <c r="B23" s="34"/>
      <c r="C23" s="32"/>
      <c r="D23" s="32"/>
      <c r="E23" s="32"/>
      <c r="F23" s="33"/>
      <c r="H23" s="51"/>
      <c r="I23" s="52"/>
      <c r="J23" s="52"/>
      <c r="K23" s="52"/>
      <c r="L23" s="52"/>
      <c r="M23" s="52"/>
      <c r="N23" s="52"/>
      <c r="O23" s="53"/>
    </row>
    <row r="24" spans="1:16" ht="15" customHeight="1" x14ac:dyDescent="0.2">
      <c r="A24" s="29"/>
      <c r="B24" s="38"/>
      <c r="C24" s="39" t="s">
        <v>35</v>
      </c>
      <c r="D24" s="39"/>
      <c r="E24" s="39"/>
      <c r="F24" s="37"/>
      <c r="H24" s="54"/>
      <c r="I24" s="68">
        <f>Computations!L32</f>
        <v>3381</v>
      </c>
      <c r="J24" s="50"/>
      <c r="K24" s="67" t="s">
        <v>23</v>
      </c>
      <c r="L24" s="67"/>
      <c r="M24" s="67"/>
      <c r="N24" s="67"/>
      <c r="O24" s="56"/>
    </row>
    <row r="25" spans="1:16" ht="15" customHeight="1" x14ac:dyDescent="0.2">
      <c r="A25" s="29"/>
      <c r="B25" s="38"/>
      <c r="C25" s="48" t="s">
        <v>39</v>
      </c>
      <c r="D25" s="48"/>
      <c r="E25" s="41">
        <f>ROUNDDOWN(E13*0.5,0)</f>
        <v>114</v>
      </c>
      <c r="F25" s="37"/>
      <c r="H25" s="54"/>
      <c r="I25" s="68"/>
      <c r="J25" s="50"/>
      <c r="K25" s="67"/>
      <c r="L25" s="67"/>
      <c r="M25" s="67"/>
      <c r="N25" s="67"/>
      <c r="O25" s="56"/>
    </row>
    <row r="26" spans="1:16" ht="15" customHeight="1" x14ac:dyDescent="0.2">
      <c r="A26" s="29"/>
      <c r="B26" s="38"/>
      <c r="C26" s="48" t="s">
        <v>52</v>
      </c>
      <c r="D26" s="48"/>
      <c r="E26" s="5">
        <v>625</v>
      </c>
      <c r="F26" s="37"/>
      <c r="H26" s="54"/>
      <c r="I26" s="57"/>
      <c r="J26" s="57"/>
      <c r="K26" s="73"/>
      <c r="L26" s="73"/>
      <c r="M26" s="73"/>
      <c r="N26" s="73"/>
      <c r="O26" s="56"/>
    </row>
    <row r="27" spans="1:16" ht="15" customHeight="1" x14ac:dyDescent="0.2">
      <c r="A27" s="29"/>
      <c r="B27" s="38"/>
      <c r="C27" s="39" t="s">
        <v>37</v>
      </c>
      <c r="D27" s="39"/>
      <c r="E27" s="39"/>
      <c r="F27" s="37"/>
      <c r="H27" s="54"/>
      <c r="I27" s="68">
        <f>Computations!M32</f>
        <v>2283</v>
      </c>
      <c r="J27" s="50"/>
      <c r="K27" s="67" t="s">
        <v>24</v>
      </c>
      <c r="L27" s="67"/>
      <c r="M27" s="67"/>
      <c r="N27" s="67"/>
      <c r="O27" s="56"/>
    </row>
    <row r="28" spans="1:16" ht="15" customHeight="1" x14ac:dyDescent="0.2">
      <c r="A28" s="29"/>
      <c r="B28" s="38"/>
      <c r="C28" s="48" t="s">
        <v>36</v>
      </c>
      <c r="D28" s="48"/>
      <c r="E28" s="41">
        <f>E13-E25</f>
        <v>115</v>
      </c>
      <c r="F28" s="37"/>
      <c r="H28" s="54"/>
      <c r="I28" s="68"/>
      <c r="J28" s="50"/>
      <c r="K28" s="67"/>
      <c r="L28" s="67"/>
      <c r="M28" s="67"/>
      <c r="N28" s="67"/>
      <c r="O28" s="56"/>
      <c r="P28" s="9"/>
    </row>
    <row r="29" spans="1:16" ht="15" customHeight="1" x14ac:dyDescent="0.2">
      <c r="A29" s="29"/>
      <c r="B29" s="38"/>
      <c r="C29" s="48" t="s">
        <v>38</v>
      </c>
      <c r="D29" s="48"/>
      <c r="E29" s="5">
        <v>37</v>
      </c>
      <c r="F29" s="37"/>
      <c r="H29" s="54"/>
      <c r="I29" s="57"/>
      <c r="J29" s="57"/>
      <c r="K29" s="57"/>
      <c r="L29" s="57"/>
      <c r="M29" s="57"/>
      <c r="N29" s="57"/>
      <c r="O29" s="56"/>
      <c r="P29" s="9"/>
    </row>
    <row r="30" spans="1:16" ht="15" customHeight="1" x14ac:dyDescent="0.2">
      <c r="A30" s="29"/>
      <c r="B30" s="38"/>
      <c r="C30" s="48" t="s">
        <v>40</v>
      </c>
      <c r="D30" s="48"/>
      <c r="E30" s="41">
        <f>E28-E29</f>
        <v>78</v>
      </c>
      <c r="F30" s="37"/>
      <c r="H30" s="54"/>
      <c r="I30" s="68">
        <f>Computations!N32</f>
        <v>1551</v>
      </c>
      <c r="J30" s="50"/>
      <c r="K30" s="67" t="s">
        <v>25</v>
      </c>
      <c r="L30" s="67"/>
      <c r="M30" s="67"/>
      <c r="N30" s="67"/>
      <c r="O30" s="56"/>
    </row>
    <row r="31" spans="1:16" ht="15" customHeight="1" x14ac:dyDescent="0.2">
      <c r="A31" s="29"/>
      <c r="B31" s="38"/>
      <c r="C31" s="48" t="s">
        <v>52</v>
      </c>
      <c r="D31" s="48"/>
      <c r="E31" s="5">
        <v>575</v>
      </c>
      <c r="F31" s="37"/>
      <c r="H31" s="54"/>
      <c r="I31" s="68"/>
      <c r="J31" s="50"/>
      <c r="K31" s="67"/>
      <c r="L31" s="67"/>
      <c r="M31" s="67"/>
      <c r="N31" s="67"/>
      <c r="O31" s="56"/>
    </row>
    <row r="32" spans="1:16" ht="15" customHeight="1" x14ac:dyDescent="0.2">
      <c r="A32" s="29"/>
      <c r="B32" s="38"/>
      <c r="C32" s="39" t="s">
        <v>60</v>
      </c>
      <c r="D32" s="39"/>
      <c r="E32" s="41">
        <f>E29-E11</f>
        <v>7</v>
      </c>
      <c r="F32" s="37"/>
      <c r="H32" s="54"/>
      <c r="I32" s="50"/>
      <c r="J32" s="50"/>
      <c r="K32" s="55"/>
      <c r="L32" s="55"/>
      <c r="M32" s="55"/>
      <c r="N32" s="55"/>
      <c r="O32" s="56"/>
    </row>
    <row r="33" spans="1:15" ht="9.9499999999999993" customHeight="1" thickBot="1" x14ac:dyDescent="0.25">
      <c r="A33" s="29"/>
      <c r="B33" s="47"/>
      <c r="C33" s="45"/>
      <c r="D33" s="45"/>
      <c r="E33" s="45"/>
      <c r="F33" s="46"/>
      <c r="H33" s="58"/>
      <c r="I33" s="59"/>
      <c r="J33" s="59"/>
      <c r="K33" s="59"/>
      <c r="L33" s="59"/>
      <c r="M33" s="59"/>
      <c r="N33" s="59"/>
      <c r="O33" s="60"/>
    </row>
  </sheetData>
  <sheetProtection algorithmName="SHA-512" hashValue="cJb2TjteyOGpyI0KsFf2PPA5qQ3S16ydCkOixfIW4RW3rFYGsGlFKOYXWIbXdFranVZSJqFlijUHirAp16d21Q==" saltValue="v0JH8FoWQIXloIDDWR9uLg==" spinCount="100000" sheet="1" objects="1" scenarios="1"/>
  <mergeCells count="11">
    <mergeCell ref="C22:E22"/>
    <mergeCell ref="I22:N22"/>
    <mergeCell ref="I24:I25"/>
    <mergeCell ref="I27:I28"/>
    <mergeCell ref="K27:N28"/>
    <mergeCell ref="K24:N25"/>
    <mergeCell ref="I30:I31"/>
    <mergeCell ref="K30:N31"/>
    <mergeCell ref="C8:E8"/>
    <mergeCell ref="I8:N8"/>
    <mergeCell ref="J2:N4"/>
  </mergeCells>
  <pageMargins left="0.7" right="0.7" top="1" bottom="0.75" header="0" footer="0"/>
  <pageSetup scale="83" orientation="landscape"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D8C75-4122-4600-8ED7-47DBB2E73CD9}">
  <sheetPr>
    <pageSetUpPr fitToPage="1"/>
  </sheetPr>
  <dimension ref="B2:P32"/>
  <sheetViews>
    <sheetView zoomScale="130" zoomScaleNormal="130" workbookViewId="0"/>
  </sheetViews>
  <sheetFormatPr defaultColWidth="8.85546875" defaultRowHeight="12.75" x14ac:dyDescent="0.2"/>
  <cols>
    <col min="1" max="1" width="4.7109375" style="6" customWidth="1"/>
    <col min="2" max="2" width="20.7109375" style="6" customWidth="1"/>
    <col min="3" max="10" width="8.7109375" style="6" customWidth="1"/>
    <col min="11" max="11" width="2.7109375" style="6" customWidth="1"/>
    <col min="12" max="14" width="10.7109375" style="6" customWidth="1"/>
    <col min="15" max="15" width="8.85546875" style="6"/>
    <col min="16" max="16" width="10.7109375" style="6" customWidth="1"/>
    <col min="17" max="16384" width="8.85546875" style="6"/>
  </cols>
  <sheetData>
    <row r="2" spans="2:16" x14ac:dyDescent="0.2">
      <c r="B2" s="12"/>
      <c r="C2" s="69" t="s">
        <v>3</v>
      </c>
      <c r="D2" s="69"/>
      <c r="E2" s="69"/>
      <c r="F2" s="69"/>
      <c r="G2" s="69"/>
      <c r="H2" s="69"/>
      <c r="I2" s="69"/>
      <c r="J2" s="69"/>
      <c r="L2" s="69" t="s">
        <v>22</v>
      </c>
      <c r="M2" s="69"/>
      <c r="N2" s="69"/>
    </row>
    <row r="3" spans="2:16" ht="13.5" thickBot="1" x14ac:dyDescent="0.25">
      <c r="B3" s="13"/>
      <c r="C3" s="14">
        <v>1</v>
      </c>
      <c r="D3" s="14">
        <v>2</v>
      </c>
      <c r="E3" s="14">
        <v>3</v>
      </c>
      <c r="F3" s="14">
        <v>4</v>
      </c>
      <c r="G3" s="14">
        <v>5</v>
      </c>
      <c r="H3" s="14">
        <v>6</v>
      </c>
      <c r="I3" s="14">
        <v>7</v>
      </c>
      <c r="J3" s="14">
        <v>8</v>
      </c>
      <c r="L3" s="15" t="s">
        <v>26</v>
      </c>
      <c r="M3" s="15" t="s">
        <v>27</v>
      </c>
      <c r="N3" s="15" t="s">
        <v>28</v>
      </c>
    </row>
    <row r="4" spans="2:16" ht="4.9000000000000004" customHeight="1" x14ac:dyDescent="0.2">
      <c r="B4" s="12"/>
      <c r="C4" s="12"/>
      <c r="D4" s="12"/>
      <c r="E4" s="12"/>
      <c r="F4" s="12"/>
      <c r="G4" s="12"/>
      <c r="H4" s="12"/>
      <c r="I4" s="12"/>
      <c r="J4" s="12"/>
      <c r="L4" s="12"/>
      <c r="M4" s="12"/>
      <c r="N4" s="12"/>
    </row>
    <row r="5" spans="2:16" x14ac:dyDescent="0.2">
      <c r="B5" s="12" t="s">
        <v>12</v>
      </c>
      <c r="C5" s="12"/>
      <c r="D5" s="12"/>
      <c r="E5" s="12"/>
      <c r="F5" s="12"/>
      <c r="G5" s="12"/>
      <c r="H5" s="12"/>
      <c r="I5" s="12"/>
      <c r="J5" s="12"/>
      <c r="L5" s="12"/>
      <c r="M5" s="12"/>
      <c r="N5" s="12"/>
    </row>
    <row r="6" spans="2:16" x14ac:dyDescent="0.2">
      <c r="B6" s="16" t="s">
        <v>9</v>
      </c>
      <c r="C6" s="17">
        <f>Input!$E$25</f>
        <v>114</v>
      </c>
      <c r="D6" s="17">
        <f>Input!$E$25</f>
        <v>114</v>
      </c>
      <c r="E6" s="17">
        <f>Input!$E$25</f>
        <v>114</v>
      </c>
      <c r="F6" s="17">
        <f>Input!$E$25</f>
        <v>114</v>
      </c>
      <c r="G6" s="17">
        <f>Input!$E$25</f>
        <v>114</v>
      </c>
      <c r="H6" s="17">
        <f>Input!$E$25</f>
        <v>114</v>
      </c>
      <c r="I6" s="17">
        <f>Input!$E$25</f>
        <v>114</v>
      </c>
      <c r="J6" s="17">
        <f>Input!$E$25</f>
        <v>114</v>
      </c>
      <c r="L6" s="12"/>
      <c r="M6" s="12"/>
      <c r="N6" s="12"/>
      <c r="P6" s="64" t="s">
        <v>56</v>
      </c>
    </row>
    <row r="7" spans="2:16" x14ac:dyDescent="0.2">
      <c r="B7" s="16" t="s">
        <v>2</v>
      </c>
      <c r="C7" s="17">
        <f>Input!$E$26</f>
        <v>625</v>
      </c>
      <c r="D7" s="17">
        <f>Input!$E$26</f>
        <v>625</v>
      </c>
      <c r="E7" s="17">
        <f>Input!$E$26</f>
        <v>625</v>
      </c>
      <c r="F7" s="17">
        <f>Input!$E$26</f>
        <v>625</v>
      </c>
      <c r="G7" s="17">
        <f>Input!$E$26</f>
        <v>625</v>
      </c>
      <c r="H7" s="17">
        <f>Input!$E$26</f>
        <v>625</v>
      </c>
      <c r="I7" s="17">
        <f>Input!$E$26</f>
        <v>625</v>
      </c>
      <c r="J7" s="17">
        <f>Input!$E$26</f>
        <v>625</v>
      </c>
      <c r="L7" s="12"/>
      <c r="M7" s="12"/>
      <c r="N7" s="12"/>
      <c r="P7" s="64" t="s">
        <v>57</v>
      </c>
    </row>
    <row r="8" spans="2:16" x14ac:dyDescent="0.2">
      <c r="B8" s="18" t="s">
        <v>1</v>
      </c>
      <c r="C8" s="19">
        <f>Input!$K$14</f>
        <v>3.5</v>
      </c>
      <c r="D8" s="19">
        <f>Input!$K$15</f>
        <v>3.5</v>
      </c>
      <c r="E8" s="19">
        <f>Input!$K$16</f>
        <v>3.4</v>
      </c>
      <c r="F8" s="19">
        <f>Input!$K$17</f>
        <v>3.1</v>
      </c>
      <c r="G8" s="19">
        <f>Input!$K$17</f>
        <v>3.1</v>
      </c>
      <c r="H8" s="19">
        <f>Input!$K$17</f>
        <v>3.1</v>
      </c>
      <c r="I8" s="19">
        <f>Input!$K$17</f>
        <v>3.1</v>
      </c>
      <c r="J8" s="19">
        <f>Input!$K$17</f>
        <v>3.1</v>
      </c>
      <c r="L8" s="12"/>
      <c r="M8" s="12"/>
      <c r="N8" s="12"/>
      <c r="P8" s="26">
        <f>(1+(Input!$E$19/100))^1</f>
        <v>1.0004</v>
      </c>
    </row>
    <row r="9" spans="2:16" x14ac:dyDescent="0.2">
      <c r="B9" s="16" t="s">
        <v>10</v>
      </c>
      <c r="C9" s="17">
        <f>C6*C7*C8</f>
        <v>249375</v>
      </c>
      <c r="D9" s="17">
        <f t="shared" ref="D9:J9" si="0">D6*D7*D8</f>
        <v>249375</v>
      </c>
      <c r="E9" s="17">
        <f t="shared" si="0"/>
        <v>242250</v>
      </c>
      <c r="F9" s="17">
        <f t="shared" si="0"/>
        <v>220875</v>
      </c>
      <c r="G9" s="17">
        <f t="shared" si="0"/>
        <v>220875</v>
      </c>
      <c r="H9" s="17">
        <f t="shared" si="0"/>
        <v>220875</v>
      </c>
      <c r="I9" s="17">
        <f t="shared" si="0"/>
        <v>220875</v>
      </c>
      <c r="J9" s="17">
        <f t="shared" si="0"/>
        <v>220875</v>
      </c>
      <c r="L9" s="17"/>
      <c r="M9" s="17"/>
      <c r="N9" s="17"/>
      <c r="P9" s="26">
        <f>(1+(Input!$E$19/100))^2</f>
        <v>1.0008001599999998</v>
      </c>
    </row>
    <row r="10" spans="2:16" x14ac:dyDescent="0.2">
      <c r="B10" s="12" t="s">
        <v>11</v>
      </c>
      <c r="C10" s="17"/>
      <c r="D10" s="17"/>
      <c r="E10" s="17"/>
      <c r="F10" s="17"/>
      <c r="G10" s="17"/>
      <c r="H10" s="17"/>
      <c r="I10" s="17"/>
      <c r="J10" s="17"/>
      <c r="L10" s="12"/>
      <c r="M10" s="12"/>
      <c r="N10" s="12"/>
      <c r="P10" s="26">
        <f>(1+(Input!$E$19/100))^3</f>
        <v>1.0012004800639998</v>
      </c>
    </row>
    <row r="11" spans="2:16" x14ac:dyDescent="0.2">
      <c r="B11" s="16" t="s">
        <v>9</v>
      </c>
      <c r="C11" s="17">
        <f>Input!$E$30</f>
        <v>78</v>
      </c>
      <c r="D11" s="17">
        <f>Input!$E$30</f>
        <v>78</v>
      </c>
      <c r="E11" s="17">
        <f>Input!$E$30</f>
        <v>78</v>
      </c>
      <c r="F11" s="17">
        <f>Input!$E$30</f>
        <v>78</v>
      </c>
      <c r="G11" s="17">
        <f>Input!$E$30</f>
        <v>78</v>
      </c>
      <c r="H11" s="17">
        <f>Input!$E$30</f>
        <v>78</v>
      </c>
      <c r="I11" s="17">
        <f>Input!$E$30</f>
        <v>78</v>
      </c>
      <c r="J11" s="17">
        <f>Input!$E$30</f>
        <v>78</v>
      </c>
      <c r="L11" s="12"/>
      <c r="M11" s="12"/>
      <c r="N11" s="12"/>
      <c r="P11" s="26">
        <f>(1+(Input!$E$19/100))^4</f>
        <v>1.0016009602560252</v>
      </c>
    </row>
    <row r="12" spans="2:16" x14ac:dyDescent="0.2">
      <c r="B12" s="16" t="s">
        <v>2</v>
      </c>
      <c r="C12" s="17">
        <f>Input!$E$31</f>
        <v>575</v>
      </c>
      <c r="D12" s="17">
        <f>Input!$E$31</f>
        <v>575</v>
      </c>
      <c r="E12" s="17">
        <f>Input!$E$31</f>
        <v>575</v>
      </c>
      <c r="F12" s="17">
        <f>Input!$E$31</f>
        <v>575</v>
      </c>
      <c r="G12" s="17">
        <f>Input!$E$31</f>
        <v>575</v>
      </c>
      <c r="H12" s="17">
        <f>Input!$E$31</f>
        <v>575</v>
      </c>
      <c r="I12" s="17">
        <f>Input!$E$31</f>
        <v>575</v>
      </c>
      <c r="J12" s="17">
        <f>Input!$E$31</f>
        <v>575</v>
      </c>
      <c r="L12" s="12"/>
      <c r="M12" s="12"/>
      <c r="N12" s="12"/>
      <c r="P12" s="26">
        <f>(1+(Input!$E$19/100))^5</f>
        <v>1.0020016006401276</v>
      </c>
    </row>
    <row r="13" spans="2:16" x14ac:dyDescent="0.2">
      <c r="B13" s="18" t="s">
        <v>1</v>
      </c>
      <c r="C13" s="19">
        <f>Input!$L$14</f>
        <v>3.2</v>
      </c>
      <c r="D13" s="19">
        <f>Input!$L$15</f>
        <v>3.2</v>
      </c>
      <c r="E13" s="19">
        <f>Input!$L$16</f>
        <v>3.1</v>
      </c>
      <c r="F13" s="19">
        <f>Input!$L$17</f>
        <v>2.9</v>
      </c>
      <c r="G13" s="19">
        <f>Input!$L$17</f>
        <v>2.9</v>
      </c>
      <c r="H13" s="19">
        <f>Input!$L$17</f>
        <v>2.9</v>
      </c>
      <c r="I13" s="19">
        <f>Input!$L$17</f>
        <v>2.9</v>
      </c>
      <c r="J13" s="19">
        <f>Input!$L$17</f>
        <v>2.9</v>
      </c>
      <c r="L13" s="12"/>
      <c r="M13" s="12"/>
      <c r="N13" s="12"/>
      <c r="P13" s="26">
        <f>(1+(Input!$E$19/100))^6</f>
        <v>1.0024024012803834</v>
      </c>
    </row>
    <row r="14" spans="2:16" x14ac:dyDescent="0.2">
      <c r="B14" s="16" t="s">
        <v>10</v>
      </c>
      <c r="C14" s="17">
        <f>C11*C12*C13</f>
        <v>143520</v>
      </c>
      <c r="D14" s="17">
        <f t="shared" ref="D14" si="1">D11*D12*D13</f>
        <v>143520</v>
      </c>
      <c r="E14" s="17">
        <f t="shared" ref="E14" si="2">E11*E12*E13</f>
        <v>139035</v>
      </c>
      <c r="F14" s="17">
        <f t="shared" ref="F14" si="3">F11*F12*F13</f>
        <v>130065</v>
      </c>
      <c r="G14" s="17">
        <f t="shared" ref="G14" si="4">G11*G12*G13</f>
        <v>130065</v>
      </c>
      <c r="H14" s="17">
        <f t="shared" ref="H14" si="5">H11*H12*H13</f>
        <v>130065</v>
      </c>
      <c r="I14" s="17">
        <f t="shared" ref="I14" si="6">I11*I12*I13</f>
        <v>130065</v>
      </c>
      <c r="J14" s="17">
        <f t="shared" ref="J14" si="7">J11*J12*J13</f>
        <v>130065</v>
      </c>
      <c r="L14" s="17"/>
      <c r="M14" s="17"/>
      <c r="N14" s="17"/>
      <c r="P14" s="26">
        <f>(1+(Input!$E$19/100))^7</f>
        <v>1.0028033622408956</v>
      </c>
    </row>
    <row r="15" spans="2:16" x14ac:dyDescent="0.2">
      <c r="B15" s="12" t="s">
        <v>13</v>
      </c>
      <c r="C15" s="17"/>
      <c r="D15" s="17"/>
      <c r="E15" s="17"/>
      <c r="F15" s="17"/>
      <c r="G15" s="17"/>
      <c r="H15" s="17"/>
      <c r="I15" s="17"/>
      <c r="J15" s="17"/>
      <c r="L15" s="12"/>
      <c r="M15" s="12"/>
      <c r="N15" s="12"/>
      <c r="P15" s="26">
        <f>(1+(Input!$E$19/100))^8</f>
        <v>1.0032044835857918</v>
      </c>
    </row>
    <row r="16" spans="2:16" x14ac:dyDescent="0.2">
      <c r="B16" s="16" t="s">
        <v>9</v>
      </c>
      <c r="C16" s="17">
        <f>Input!$E$32</f>
        <v>7</v>
      </c>
      <c r="D16" s="17">
        <f>Input!$E$32</f>
        <v>7</v>
      </c>
      <c r="E16" s="17">
        <f>Input!$E$32</f>
        <v>7</v>
      </c>
      <c r="F16" s="17">
        <f>Input!$E$32</f>
        <v>7</v>
      </c>
      <c r="G16" s="17">
        <f>Input!$E$32</f>
        <v>7</v>
      </c>
      <c r="H16" s="17">
        <f>Input!$E$32</f>
        <v>7</v>
      </c>
      <c r="I16" s="17">
        <f>Input!$E$32</f>
        <v>7</v>
      </c>
      <c r="J16" s="17">
        <f>Input!$E$32</f>
        <v>7</v>
      </c>
      <c r="L16" s="12"/>
      <c r="M16" s="12"/>
      <c r="N16" s="12"/>
    </row>
    <row r="17" spans="2:14" x14ac:dyDescent="0.2">
      <c r="B17" s="18" t="s">
        <v>14</v>
      </c>
      <c r="C17" s="20">
        <f>Input!$M$14</f>
        <v>1600</v>
      </c>
      <c r="D17" s="20">
        <f>Input!$M$15</f>
        <v>1600</v>
      </c>
      <c r="E17" s="20">
        <f>Input!$M$16</f>
        <v>1600</v>
      </c>
      <c r="F17" s="20">
        <f>Input!$M$17</f>
        <v>1600</v>
      </c>
      <c r="G17" s="20">
        <f>Input!$M$17</f>
        <v>1600</v>
      </c>
      <c r="H17" s="20">
        <f>Input!$M$17</f>
        <v>1600</v>
      </c>
      <c r="I17" s="20">
        <f>Input!$M$17</f>
        <v>1600</v>
      </c>
      <c r="J17" s="20">
        <f>Input!$M$17</f>
        <v>1600</v>
      </c>
      <c r="K17" s="25"/>
      <c r="L17" s="12"/>
      <c r="M17" s="12"/>
      <c r="N17" s="12"/>
    </row>
    <row r="18" spans="2:14" x14ac:dyDescent="0.2">
      <c r="B18" s="16" t="s">
        <v>10</v>
      </c>
      <c r="C18" s="17">
        <f>C16*C17</f>
        <v>11200</v>
      </c>
      <c r="D18" s="17">
        <f t="shared" ref="D18:J18" si="8">D16*D17</f>
        <v>11200</v>
      </c>
      <c r="E18" s="17">
        <f t="shared" si="8"/>
        <v>11200</v>
      </c>
      <c r="F18" s="17">
        <f t="shared" si="8"/>
        <v>11200</v>
      </c>
      <c r="G18" s="17">
        <f t="shared" si="8"/>
        <v>11200</v>
      </c>
      <c r="H18" s="17">
        <f t="shared" si="8"/>
        <v>11200</v>
      </c>
      <c r="I18" s="17">
        <f t="shared" si="8"/>
        <v>11200</v>
      </c>
      <c r="J18" s="17">
        <f t="shared" si="8"/>
        <v>11200</v>
      </c>
      <c r="K18" s="25"/>
      <c r="L18" s="17"/>
      <c r="M18" s="17"/>
      <c r="N18" s="17"/>
    </row>
    <row r="19" spans="2:14" x14ac:dyDescent="0.2">
      <c r="B19" s="12" t="s">
        <v>15</v>
      </c>
      <c r="C19" s="17"/>
      <c r="D19" s="17"/>
      <c r="E19" s="17"/>
      <c r="F19" s="17"/>
      <c r="G19" s="17"/>
      <c r="H19" s="17"/>
      <c r="I19" s="17"/>
      <c r="J19" s="17"/>
      <c r="L19" s="12"/>
      <c r="M19" s="12"/>
      <c r="N19" s="12"/>
    </row>
    <row r="20" spans="2:14" x14ac:dyDescent="0.2">
      <c r="B20" s="16" t="s">
        <v>9</v>
      </c>
      <c r="C20" s="17">
        <f>Input!$E$11</f>
        <v>30</v>
      </c>
      <c r="D20" s="17">
        <f>Input!$E$11</f>
        <v>30</v>
      </c>
      <c r="E20" s="17">
        <f>Input!$E$11</f>
        <v>30</v>
      </c>
      <c r="F20" s="17">
        <f>Input!$E$11</f>
        <v>30</v>
      </c>
      <c r="G20" s="17">
        <f>Input!$E$11</f>
        <v>30</v>
      </c>
      <c r="H20" s="17">
        <f>Input!$E$11</f>
        <v>30</v>
      </c>
      <c r="I20" s="17">
        <f>Input!$E$11</f>
        <v>30</v>
      </c>
      <c r="J20" s="17">
        <f>Input!$E$11</f>
        <v>30</v>
      </c>
      <c r="L20" s="12"/>
      <c r="M20" s="12"/>
      <c r="N20" s="12"/>
    </row>
    <row r="21" spans="2:14" x14ac:dyDescent="0.2">
      <c r="B21" s="18" t="s">
        <v>14</v>
      </c>
      <c r="C21" s="20">
        <f>Input!$N$14</f>
        <v>1800</v>
      </c>
      <c r="D21" s="20">
        <f>Input!$N$15</f>
        <v>1800</v>
      </c>
      <c r="E21" s="20">
        <f>Input!$N$16</f>
        <v>1800</v>
      </c>
      <c r="F21" s="20">
        <f>Input!$N$17</f>
        <v>1800</v>
      </c>
      <c r="G21" s="20">
        <f>Input!$N$17</f>
        <v>1800</v>
      </c>
      <c r="H21" s="20">
        <f>Input!$N$17</f>
        <v>1800</v>
      </c>
      <c r="I21" s="20">
        <f>Input!$N$17</f>
        <v>1800</v>
      </c>
      <c r="J21" s="20">
        <f>Input!$N$17</f>
        <v>1800</v>
      </c>
      <c r="L21" s="12"/>
      <c r="M21" s="12"/>
      <c r="N21" s="12"/>
    </row>
    <row r="22" spans="2:14" x14ac:dyDescent="0.2">
      <c r="B22" s="16" t="s">
        <v>10</v>
      </c>
      <c r="C22" s="17">
        <f>C20*C21</f>
        <v>54000</v>
      </c>
      <c r="D22" s="17">
        <f t="shared" ref="D22:J22" si="9">D20*D21</f>
        <v>54000</v>
      </c>
      <c r="E22" s="17">
        <f t="shared" si="9"/>
        <v>54000</v>
      </c>
      <c r="F22" s="17">
        <f t="shared" si="9"/>
        <v>54000</v>
      </c>
      <c r="G22" s="17">
        <f t="shared" si="9"/>
        <v>54000</v>
      </c>
      <c r="H22" s="17">
        <f t="shared" si="9"/>
        <v>54000</v>
      </c>
      <c r="I22" s="17">
        <f t="shared" si="9"/>
        <v>54000</v>
      </c>
      <c r="J22" s="17">
        <f t="shared" si="9"/>
        <v>54000</v>
      </c>
      <c r="L22" s="17"/>
      <c r="M22" s="17"/>
      <c r="N22" s="17"/>
    </row>
    <row r="23" spans="2:14" ht="13.5" thickBot="1" x14ac:dyDescent="0.25">
      <c r="B23" s="21"/>
      <c r="C23" s="22"/>
      <c r="D23" s="22"/>
      <c r="E23" s="22"/>
      <c r="F23" s="22"/>
      <c r="G23" s="22"/>
      <c r="H23" s="22"/>
      <c r="I23" s="22"/>
      <c r="J23" s="22"/>
      <c r="L23" s="12"/>
      <c r="M23" s="12"/>
      <c r="N23" s="12"/>
    </row>
    <row r="24" spans="2:14" ht="13.5" thickTop="1" x14ac:dyDescent="0.2">
      <c r="B24" s="12" t="s">
        <v>16</v>
      </c>
      <c r="C24" s="17">
        <f t="shared" ref="C24:J24" si="10">C9+C14+C18+C22</f>
        <v>458095</v>
      </c>
      <c r="D24" s="17">
        <f t="shared" si="10"/>
        <v>458095</v>
      </c>
      <c r="E24" s="17">
        <f t="shared" si="10"/>
        <v>446485</v>
      </c>
      <c r="F24" s="17">
        <f t="shared" si="10"/>
        <v>416140</v>
      </c>
      <c r="G24" s="17">
        <f t="shared" si="10"/>
        <v>416140</v>
      </c>
      <c r="H24" s="17">
        <f t="shared" si="10"/>
        <v>416140</v>
      </c>
      <c r="I24" s="17">
        <f t="shared" si="10"/>
        <v>416140</v>
      </c>
      <c r="J24" s="17">
        <f t="shared" si="10"/>
        <v>416140</v>
      </c>
      <c r="L24" s="17">
        <f>SUM(C24:J24)</f>
        <v>3443375</v>
      </c>
      <c r="M24" s="17">
        <f>SUM(C24:G24)</f>
        <v>2194955</v>
      </c>
      <c r="N24" s="17">
        <f>SUM(C24:E24)</f>
        <v>1362675</v>
      </c>
    </row>
    <row r="25" spans="2:14" x14ac:dyDescent="0.2">
      <c r="B25" s="12"/>
      <c r="C25" s="12"/>
      <c r="D25" s="12"/>
      <c r="E25" s="12"/>
      <c r="F25" s="12"/>
      <c r="G25" s="12"/>
      <c r="H25" s="12"/>
      <c r="I25" s="12"/>
      <c r="J25" s="12"/>
      <c r="L25" s="12"/>
      <c r="M25" s="12"/>
      <c r="N25" s="12"/>
    </row>
    <row r="26" spans="2:14" x14ac:dyDescent="0.2">
      <c r="B26" s="12" t="s">
        <v>18</v>
      </c>
      <c r="C26" s="17">
        <f>Input!E16</f>
        <v>1300</v>
      </c>
      <c r="D26" s="17">
        <f>C26+(C26*Input!$E$17)</f>
        <v>1300</v>
      </c>
      <c r="E26" s="17">
        <f>D26+(D26*Input!$E$17)</f>
        <v>1300</v>
      </c>
      <c r="F26" s="17">
        <f>E26+(E26*Input!$E$17)</f>
        <v>1300</v>
      </c>
      <c r="G26" s="17">
        <f>F26+(F26*Input!$E$17)</f>
        <v>1300</v>
      </c>
      <c r="H26" s="17">
        <f>G26+(G26*Input!$E$17)</f>
        <v>1300</v>
      </c>
      <c r="I26" s="17">
        <f>H26+(H26*Input!$E$17)</f>
        <v>1300</v>
      </c>
      <c r="J26" s="17">
        <f>I26+(I26*Input!$E$17)</f>
        <v>1300</v>
      </c>
      <c r="L26" s="17">
        <f>SUM(C26:J26)</f>
        <v>10400</v>
      </c>
      <c r="M26" s="17">
        <f>SUM(C26:G26)</f>
        <v>6500</v>
      </c>
      <c r="N26" s="17">
        <f>SUM(C26:E26)</f>
        <v>3900</v>
      </c>
    </row>
    <row r="27" spans="2:14" x14ac:dyDescent="0.2">
      <c r="B27" s="12" t="s">
        <v>19</v>
      </c>
      <c r="C27" s="17">
        <f>C26*Input!$E$10</f>
        <v>325000</v>
      </c>
      <c r="D27" s="17">
        <f>D26*Input!$E$10</f>
        <v>325000</v>
      </c>
      <c r="E27" s="17">
        <f>E26*Input!$E$10</f>
        <v>325000</v>
      </c>
      <c r="F27" s="17">
        <f>F26*Input!$E$10</f>
        <v>325000</v>
      </c>
      <c r="G27" s="17">
        <f>G26*Input!$E$10</f>
        <v>325000</v>
      </c>
      <c r="H27" s="17">
        <f>H26*Input!$E$10</f>
        <v>325000</v>
      </c>
      <c r="I27" s="17">
        <f>I26*Input!$E$10</f>
        <v>325000</v>
      </c>
      <c r="J27" s="17">
        <f>J26*Input!$E$10</f>
        <v>325000</v>
      </c>
      <c r="L27" s="17">
        <f>SUM(C27:J27)</f>
        <v>2600000</v>
      </c>
      <c r="M27" s="17">
        <f>SUM(C27:G27)</f>
        <v>1625000</v>
      </c>
      <c r="N27" s="17">
        <f>SUM(C27:E27)</f>
        <v>975000</v>
      </c>
    </row>
    <row r="28" spans="2:14" x14ac:dyDescent="0.2">
      <c r="B28" s="12"/>
      <c r="C28" s="12"/>
      <c r="D28" s="12"/>
      <c r="E28" s="12"/>
      <c r="F28" s="12"/>
      <c r="G28" s="12"/>
      <c r="H28" s="12"/>
      <c r="I28" s="12"/>
      <c r="J28" s="12"/>
      <c r="L28" s="12"/>
      <c r="M28" s="12"/>
      <c r="N28" s="12"/>
    </row>
    <row r="29" spans="2:14" x14ac:dyDescent="0.2">
      <c r="B29" s="23" t="s">
        <v>20</v>
      </c>
      <c r="C29" s="24">
        <f>C24-C27</f>
        <v>133095</v>
      </c>
      <c r="D29" s="24">
        <f t="shared" ref="D29:J29" si="11">D24-D27</f>
        <v>133095</v>
      </c>
      <c r="E29" s="24">
        <f t="shared" si="11"/>
        <v>121485</v>
      </c>
      <c r="F29" s="24">
        <f t="shared" si="11"/>
        <v>91140</v>
      </c>
      <c r="G29" s="24">
        <f t="shared" si="11"/>
        <v>91140</v>
      </c>
      <c r="H29" s="24">
        <f t="shared" si="11"/>
        <v>91140</v>
      </c>
      <c r="I29" s="24">
        <f t="shared" si="11"/>
        <v>91140</v>
      </c>
      <c r="J29" s="24">
        <f t="shared" si="11"/>
        <v>91140</v>
      </c>
      <c r="L29" s="17">
        <f t="shared" ref="L29:L30" si="12">SUM(C29:J29)</f>
        <v>843375</v>
      </c>
      <c r="M29" s="17">
        <f t="shared" ref="M29:M30" si="13">SUM(C29:G29)</f>
        <v>569955</v>
      </c>
      <c r="N29" s="17">
        <f t="shared" ref="N29:N30" si="14">SUM(C29:E29)</f>
        <v>387675</v>
      </c>
    </row>
    <row r="30" spans="2:14" x14ac:dyDescent="0.2">
      <c r="B30" s="23" t="s">
        <v>21</v>
      </c>
      <c r="C30" s="65">
        <f>ROUND(C29/Input!$E$10,0)</f>
        <v>532</v>
      </c>
      <c r="D30" s="65">
        <f>ROUND(D29/Input!$E$10,0)</f>
        <v>532</v>
      </c>
      <c r="E30" s="65">
        <f>ROUND(E29/Input!$E$10,0)</f>
        <v>486</v>
      </c>
      <c r="F30" s="65">
        <f>ROUND(F29/Input!$E$10,0)</f>
        <v>365</v>
      </c>
      <c r="G30" s="65">
        <f>ROUND(G29/Input!$E$10,0)</f>
        <v>365</v>
      </c>
      <c r="H30" s="65">
        <f>ROUND(H29/Input!$E$10,0)</f>
        <v>365</v>
      </c>
      <c r="I30" s="65">
        <f>ROUND(I29/Input!$E$10,0)</f>
        <v>365</v>
      </c>
      <c r="J30" s="65">
        <f>ROUND(J29/Input!$E$10,0)</f>
        <v>365</v>
      </c>
      <c r="L30" s="17">
        <f t="shared" si="12"/>
        <v>3375</v>
      </c>
      <c r="M30" s="17">
        <f t="shared" si="13"/>
        <v>2280</v>
      </c>
      <c r="N30" s="17">
        <f t="shared" si="14"/>
        <v>1550</v>
      </c>
    </row>
    <row r="31" spans="2:14" x14ac:dyDescent="0.2">
      <c r="B31" s="12"/>
      <c r="C31" s="12"/>
      <c r="D31" s="12"/>
      <c r="E31" s="12"/>
      <c r="F31" s="12"/>
      <c r="G31" s="12"/>
      <c r="H31" s="12"/>
      <c r="I31" s="12"/>
      <c r="J31" s="12"/>
      <c r="L31" s="12"/>
      <c r="M31" s="12"/>
      <c r="N31" s="12"/>
    </row>
    <row r="32" spans="2:14" x14ac:dyDescent="0.2">
      <c r="B32" s="23" t="s">
        <v>55</v>
      </c>
      <c r="C32" s="24">
        <f>ROUND(C$30*$P8,0)</f>
        <v>532</v>
      </c>
      <c r="D32" s="24">
        <f>ROUND(D$30*$P9,0)</f>
        <v>532</v>
      </c>
      <c r="E32" s="24">
        <f>ROUND(E$30*$P10,0)</f>
        <v>487</v>
      </c>
      <c r="F32" s="24">
        <f>ROUND(F$30*$P11,0)</f>
        <v>366</v>
      </c>
      <c r="G32" s="24">
        <f>ROUND(G$30*$P12,0)</f>
        <v>366</v>
      </c>
      <c r="H32" s="24">
        <f>ROUND(H$30*$P13,0)</f>
        <v>366</v>
      </c>
      <c r="I32" s="24">
        <f>ROUND(I$30*$P14,0)</f>
        <v>366</v>
      </c>
      <c r="J32" s="24">
        <f>ROUND(J$30*$P15,0)</f>
        <v>366</v>
      </c>
      <c r="L32" s="24">
        <f t="shared" ref="L32" si="15">SUM(C32:J32)</f>
        <v>3381</v>
      </c>
      <c r="M32" s="24">
        <f t="shared" ref="M32" si="16">SUM(C32:G32)</f>
        <v>2283</v>
      </c>
      <c r="N32" s="24">
        <f t="shared" ref="N32" si="17">SUM(C32:E32)</f>
        <v>1551</v>
      </c>
    </row>
  </sheetData>
  <sheetProtection algorithmName="SHA-512" hashValue="ke+GGXD0vWoyHPcPfGbh+8mLlcr4n8ZXInkMRP8Hl0ZsGrbSa+Jf1B0Ku8Kkrk++rdzWrNCf5fFd+3yctZcjBA==" saltValue="wg70aLL0+q3A/rsLu156bg==" spinCount="100000" sheet="1" objects="1" scenarios="1"/>
  <mergeCells count="2">
    <mergeCell ref="C2:J2"/>
    <mergeCell ref="L2:N2"/>
  </mergeCells>
  <pageMargins left="0.7" right="0.7" top="0.75" bottom="0.75" header="0.3" footer="0.3"/>
  <pageSetup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Input</vt:lpstr>
      <vt:lpstr>Computations</vt:lpstr>
      <vt:lpstr>Computations!Print_Area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Sharp</dc:creator>
  <cp:lastModifiedBy>Jeffrey Tranel</cp:lastModifiedBy>
  <cp:lastPrinted>2023-09-13T16:04:28Z</cp:lastPrinted>
  <dcterms:created xsi:type="dcterms:W3CDTF">2005-01-26T22:32:31Z</dcterms:created>
  <dcterms:modified xsi:type="dcterms:W3CDTF">2026-09-14T18:49:30Z</dcterms:modified>
</cp:coreProperties>
</file>