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2024_11_07\001 - ABM\ABM Notes - Decision Tools - Enterprise Budgets\Risk - Production\"/>
    </mc:Choice>
  </mc:AlternateContent>
  <xr:revisionPtr revIDLastSave="0" documentId="13_ncr:1_{DA4B9B4D-4B95-4AC7-9864-284203316BA5}" xr6:coauthVersionLast="47" xr6:coauthVersionMax="47" xr10:uidLastSave="{00000000-0000-0000-0000-000000000000}"/>
  <bookViews>
    <workbookView xWindow="-120" yWindow="-120" windowWidth="29040" windowHeight="15720" xr2:uid="{105455C6-8495-449A-90A7-EB00AF756477}"/>
  </bookViews>
  <sheets>
    <sheet name="Input" sheetId="1" r:id="rId1"/>
    <sheet name="Results" sheetId="4" r:id="rId2"/>
    <sheet name="Data" sheetId="2" r:id="rId3"/>
  </sheets>
  <externalReferences>
    <externalReference r:id="rId4"/>
  </externalReferences>
  <definedNames>
    <definedName name="Harvest_Operations">[1]Sheet1!$D$2:$D$12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8" i="2" l="1"/>
  <c r="M4" i="2" l="1"/>
  <c r="G3" i="4" s="1"/>
  <c r="L25" i="2"/>
  <c r="L24" i="2"/>
  <c r="L22" i="2"/>
  <c r="L21" i="2"/>
  <c r="L20" i="2"/>
  <c r="L5" i="2"/>
  <c r="L29" i="2" s="1"/>
  <c r="K25" i="2"/>
  <c r="K24" i="2"/>
  <c r="K22" i="2"/>
  <c r="K21" i="2"/>
  <c r="K20" i="2"/>
  <c r="K8" i="2"/>
  <c r="K5" i="2"/>
  <c r="J25" i="2"/>
  <c r="J24" i="2"/>
  <c r="J22" i="2"/>
  <c r="J21" i="2"/>
  <c r="J20" i="2"/>
  <c r="J8" i="2"/>
  <c r="J5" i="2"/>
  <c r="M9" i="2" s="1"/>
  <c r="L4" i="2"/>
  <c r="K4" i="2"/>
  <c r="J4" i="2"/>
  <c r="I4" i="2"/>
  <c r="I25" i="2"/>
  <c r="I24" i="2"/>
  <c r="I22" i="2"/>
  <c r="I21" i="2"/>
  <c r="I20" i="2"/>
  <c r="I8" i="2"/>
  <c r="I5" i="2"/>
  <c r="M5" i="2" l="1"/>
  <c r="I27" i="2"/>
  <c r="I28" i="2" s="1"/>
  <c r="L12" i="2"/>
  <c r="L17" i="2" s="1"/>
  <c r="K11" i="2"/>
  <c r="K16" i="2" s="1"/>
  <c r="J6" i="2"/>
  <c r="J10" i="2" s="1"/>
  <c r="I6" i="2"/>
  <c r="I11" i="2"/>
  <c r="I16" i="2" s="1"/>
  <c r="J11" i="2"/>
  <c r="J16" i="2" s="1"/>
  <c r="K6" i="2"/>
  <c r="K10" i="2" s="1"/>
  <c r="L11" i="2"/>
  <c r="L16" i="2" s="1"/>
  <c r="L6" i="2"/>
  <c r="L10" i="2" s="1"/>
  <c r="L15" i="2" s="1"/>
  <c r="L27" i="2"/>
  <c r="K27" i="2"/>
  <c r="J27" i="2"/>
  <c r="J28" i="2" s="1"/>
  <c r="K12" i="2" l="1"/>
  <c r="K17" i="2" s="1"/>
  <c r="K15" i="2"/>
  <c r="J12" i="2"/>
  <c r="J17" i="2" s="1"/>
  <c r="J15" i="2"/>
  <c r="I19" i="4"/>
  <c r="G4" i="4"/>
  <c r="D25" i="4"/>
  <c r="M3" i="4"/>
  <c r="K29" i="2"/>
  <c r="K33" i="2" s="1"/>
  <c r="I32" i="2"/>
  <c r="M27" i="2"/>
  <c r="J29" i="2"/>
  <c r="J33" i="2" s="1"/>
  <c r="I10" i="2"/>
  <c r="I15" i="2" s="1"/>
  <c r="M6" i="2"/>
  <c r="M4" i="4" s="1"/>
  <c r="I29" i="2"/>
  <c r="J32" i="2"/>
  <c r="K31" i="2"/>
  <c r="L33" i="2"/>
  <c r="L28" i="2"/>
  <c r="L32" i="2" s="1"/>
  <c r="L31" i="2"/>
  <c r="K28" i="2"/>
  <c r="K32" i="2" s="1"/>
  <c r="J31" i="2"/>
  <c r="D21" i="4" l="1"/>
  <c r="D22" i="4"/>
  <c r="D24" i="4"/>
  <c r="D23" i="4"/>
  <c r="D30" i="4"/>
  <c r="D29" i="4"/>
  <c r="D28" i="4"/>
  <c r="D27" i="4"/>
  <c r="E19" i="4"/>
  <c r="F19" i="4"/>
  <c r="G19" i="4"/>
  <c r="H19" i="4"/>
  <c r="M19" i="4"/>
  <c r="L19" i="4"/>
  <c r="K19" i="4"/>
  <c r="J19" i="4"/>
  <c r="M28" i="2"/>
  <c r="J12" i="4" s="1"/>
  <c r="H12" i="4"/>
  <c r="M29" i="2"/>
  <c r="L12" i="4" s="1"/>
  <c r="I31" i="2"/>
  <c r="M31" i="2" s="1"/>
  <c r="M10" i="2"/>
  <c r="I12" i="2"/>
  <c r="I33" i="2" l="1"/>
  <c r="I17" i="2"/>
  <c r="H9" i="4"/>
  <c r="H10" i="4" s="1"/>
  <c r="M15" i="2"/>
  <c r="H11" i="4" s="1"/>
  <c r="H13" i="4" s="1"/>
  <c r="J30" i="4"/>
  <c r="J25" i="4"/>
  <c r="J28" i="4"/>
  <c r="E29" i="4"/>
  <c r="E24" i="4"/>
  <c r="L28" i="4"/>
  <c r="E27" i="4"/>
  <c r="F28" i="4"/>
  <c r="H29" i="4"/>
  <c r="M21" i="4"/>
  <c r="K28" i="4"/>
  <c r="K23" i="4"/>
  <c r="J21" i="4"/>
  <c r="H25" i="4"/>
  <c r="F29" i="4"/>
  <c r="G30" i="4"/>
  <c r="M29" i="4"/>
  <c r="M27" i="4"/>
  <c r="I24" i="4"/>
  <c r="L24" i="4"/>
  <c r="M30" i="4"/>
  <c r="L25" i="4"/>
  <c r="J22" i="4"/>
  <c r="H30" i="4"/>
  <c r="L27" i="4"/>
  <c r="J29" i="4"/>
  <c r="H24" i="4"/>
  <c r="L21" i="4"/>
  <c r="J24" i="4"/>
  <c r="H23" i="4"/>
  <c r="G22" i="4"/>
  <c r="F21" i="4"/>
  <c r="G27" i="4"/>
  <c r="F30" i="4"/>
  <c r="G23" i="4"/>
  <c r="F25" i="4"/>
  <c r="I22" i="4"/>
  <c r="F27" i="4"/>
  <c r="L30" i="4"/>
  <c r="I25" i="4"/>
  <c r="H28" i="4"/>
  <c r="L23" i="4"/>
  <c r="I30" i="4"/>
  <c r="H21" i="4"/>
  <c r="M28" i="4"/>
  <c r="L22" i="4"/>
  <c r="I27" i="4"/>
  <c r="E23" i="4"/>
  <c r="H22" i="4"/>
  <c r="M23" i="4"/>
  <c r="I21" i="4"/>
  <c r="K22" i="4"/>
  <c r="I28" i="4"/>
  <c r="E28" i="4"/>
  <c r="G29" i="4"/>
  <c r="M24" i="4"/>
  <c r="F23" i="4"/>
  <c r="K24" i="4"/>
  <c r="G28" i="4"/>
  <c r="K21" i="4"/>
  <c r="E30" i="4"/>
  <c r="M25" i="4"/>
  <c r="K25" i="4"/>
  <c r="E22" i="4"/>
  <c r="K27" i="4"/>
  <c r="E21" i="4"/>
  <c r="G25" i="4"/>
  <c r="M22" i="4"/>
  <c r="I23" i="4"/>
  <c r="K29" i="4"/>
  <c r="E25" i="4"/>
  <c r="G24" i="4"/>
  <c r="K30" i="4"/>
  <c r="F22" i="4"/>
  <c r="J27" i="4"/>
  <c r="H27" i="4"/>
  <c r="G21" i="4"/>
  <c r="L29" i="4"/>
  <c r="F24" i="4"/>
  <c r="J23" i="4"/>
  <c r="I29" i="4"/>
  <c r="M12" i="2"/>
  <c r="M11" i="2"/>
  <c r="M32" i="2"/>
  <c r="M33" i="2"/>
  <c r="J9" i="4" l="1"/>
  <c r="J10" i="4" s="1"/>
  <c r="M16" i="2"/>
  <c r="J11" i="4" s="1"/>
  <c r="J13" i="4" s="1"/>
  <c r="L9" i="4"/>
  <c r="L10" i="4" s="1"/>
  <c r="M17" i="2"/>
  <c r="L11" i="4" s="1"/>
  <c r="L1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Tranel,Jeffrey</author>
  </authors>
  <commentList>
    <comment ref="F8" authorId="0" shapeId="0" xr:uid="{81561192-FC03-445A-95A5-17C259CE4343}">
      <text>
        <r>
          <rPr>
            <sz val="12"/>
            <color indexed="81"/>
            <rFont val="Tahoma"/>
            <family val="2"/>
          </rPr>
          <t>Select from the dropdown list the type of hay that is being sold standing in the field.</t>
        </r>
      </text>
    </comment>
    <comment ref="F9" authorId="0" shapeId="0" xr:uid="{E9212EE4-E166-4063-89C7-AD5C41BF56ED}">
      <text>
        <r>
          <rPr>
            <sz val="12"/>
            <color indexed="81"/>
            <rFont val="Tahoma"/>
            <family val="2"/>
          </rPr>
          <t>Enter the number of acres that will be harvested.</t>
        </r>
      </text>
    </comment>
    <comment ref="D10" authorId="0" shapeId="0" xr:uid="{9E03DB22-A18C-465A-88D4-6288EE2807FE}">
      <text>
        <r>
          <rPr>
            <sz val="12"/>
            <color indexed="81"/>
            <rFont val="Tahoma"/>
            <family val="2"/>
          </rPr>
          <t>Seller's share is the amount of hay that the seller (landowner) will receive of the total crop. For example, enter 50 if the landowner will get half (50%) of the harvested crop.
This percentage will be applied to all cuttings.</t>
        </r>
      </text>
    </comment>
    <comment ref="D14" authorId="0" shapeId="0" xr:uid="{693A296C-B389-435B-AD81-F70EF6983377}">
      <text>
        <r>
          <rPr>
            <sz val="12"/>
            <color indexed="81"/>
            <rFont val="Tahoma"/>
            <family val="2"/>
          </rPr>
          <t>Enter the average yield in tons per acre of hay harvested.</t>
        </r>
      </text>
    </comment>
    <comment ref="D15" authorId="0" shapeId="0" xr:uid="{05829F93-2FE6-42A1-9982-D8A5FD5F9B69}">
      <text>
        <r>
          <rPr>
            <sz val="12"/>
            <color indexed="81"/>
            <rFont val="Tahoma"/>
            <family val="2"/>
          </rPr>
          <t>Enter the price per ton for the harvested hay. The price should be fair market value even if the hay was not sold.</t>
        </r>
      </text>
    </comment>
    <comment ref="H16" authorId="0" shapeId="0" xr:uid="{AC8C39D8-4918-4496-B51A-5A40122B410A}">
      <text>
        <r>
          <rPr>
            <sz val="12"/>
            <color indexed="81"/>
            <rFont val="Tahoma"/>
            <family val="2"/>
          </rPr>
          <t>Enter the cost for the operation or combination of operations from the dropdown list on either a per acre basis or per ton basis. Do NOT enter the cost on both a per acre and per ton basis.</t>
        </r>
      </text>
    </comment>
    <comment ref="D17" authorId="0" shapeId="0" xr:uid="{4D81CD37-8F92-4400-A3D3-FEC4007AD169}">
      <text>
        <r>
          <rPr>
            <sz val="12"/>
            <color indexed="81"/>
            <rFont val="Tahoma"/>
            <family val="2"/>
          </rPr>
          <t>Select a harvest operation from the dropdown menu. The dropdown list allows for the selection of individual operations and some combinations of operations.</t>
        </r>
      </text>
    </comment>
    <comment ref="D24" authorId="0" shapeId="0" xr:uid="{0D7BDE71-37F5-4971-859D-9FB55664B911}">
      <text>
        <r>
          <rPr>
            <sz val="12"/>
            <color indexed="81"/>
            <rFont val="Tahoma"/>
            <family val="2"/>
          </rPr>
          <t>Enter the total costs for irrigating the field (water, power, maintenance, labor, etc.) on a per acre basis.</t>
        </r>
      </text>
    </comment>
    <comment ref="D26" authorId="0" shapeId="0" xr:uid="{0B63927B-9F19-485C-9284-F999BDCC7DCE}">
      <text>
        <r>
          <rPr>
            <sz val="12"/>
            <color indexed="81"/>
            <rFont val="Tahoma"/>
            <family val="2"/>
          </rPr>
          <t>Enter all other costs associated with growing and harvesting this cutting of hay on either a per acre or a per ton basis.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Tranel,Jeffrey</author>
  </authors>
  <commentList>
    <comment ref="C9" authorId="0" shapeId="0" xr:uid="{8BC66BF4-58E1-46B2-AA4E-71C478BDC766}">
      <text>
        <r>
          <rPr>
            <sz val="12"/>
            <color indexed="81"/>
            <rFont val="Tahoma"/>
            <family val="2"/>
          </rPr>
          <t>Goss Harvested Value = the total value of hay harvested for all cuttings.
Formula = Yield x Price (for all cuttings)</t>
        </r>
      </text>
    </comment>
    <comment ref="C10" authorId="0" shapeId="0" xr:uid="{CAA3559F-4A69-40FC-B1E7-36559849482F}">
      <text>
        <r>
          <rPr>
            <sz val="12"/>
            <color indexed="81"/>
            <rFont val="Tahoma"/>
            <family val="2"/>
          </rPr>
          <t>Seller's Share = the seller's (landowner's) share of the value of the harvested hay for all cuttings. If the seller does not get any of the hay, the seller's share will be zero.
Formula = Gross Harvested Value x Seller's Share</t>
        </r>
      </text>
    </comment>
    <comment ref="C11" authorId="0" shapeId="0" xr:uid="{A924AA2F-E5BF-4E78-9405-8E1D8099E59F}">
      <text>
        <r>
          <rPr>
            <sz val="12"/>
            <color indexed="81"/>
            <rFont val="Tahoma"/>
            <family val="2"/>
          </rPr>
          <t>The net of the gross value of the harvested hay less the seller's share. This is the buyer's share of the harvested value of all hay harvested.</t>
        </r>
      </text>
    </comment>
    <comment ref="C13" authorId="0" shapeId="0" xr:uid="{C9AEAF06-FC03-450E-A780-68180196B978}">
      <text>
        <r>
          <rPr>
            <sz val="12"/>
            <color indexed="81"/>
            <rFont val="Tahoma"/>
            <family val="2"/>
          </rPr>
          <t>The most a buyer could reasonably pay or a landowner (seller) could reasonably receive for the hay while it is still standing.
Maximum economic value of the standing hay.</t>
        </r>
      </text>
    </comment>
  </commentList>
</comments>
</file>

<file path=xl/sharedStrings.xml><?xml version="1.0" encoding="utf-8"?>
<sst xmlns="http://schemas.openxmlformats.org/spreadsheetml/2006/main" count="133" uniqueCount="82">
  <si>
    <t>https://ABM.extension.colostate.edu</t>
  </si>
  <si>
    <t>Hay Type</t>
  </si>
  <si>
    <t>Harvest Operations</t>
  </si>
  <si>
    <t>Alfalfa</t>
  </si>
  <si>
    <t>Grass</t>
  </si>
  <si>
    <t>Feed</t>
  </si>
  <si>
    <t>Rake</t>
  </si>
  <si>
    <t>Other</t>
  </si>
  <si>
    <t>Bale</t>
  </si>
  <si>
    <t>Haul</t>
  </si>
  <si>
    <t>Stack</t>
  </si>
  <si>
    <t>Irrigation</t>
  </si>
  <si>
    <t>Cut/Rake/Bale</t>
  </si>
  <si>
    <t>Dryland</t>
  </si>
  <si>
    <t>Cut/Rake/Bale/Haul</t>
  </si>
  <si>
    <t>Sub Irrigated</t>
  </si>
  <si>
    <t>Flood Irrigated</t>
  </si>
  <si>
    <t xml:space="preserve">Sprinkler </t>
  </si>
  <si>
    <t>Pivot</t>
  </si>
  <si>
    <t>Cuttings</t>
  </si>
  <si>
    <t>Seller's Share</t>
  </si>
  <si>
    <t>Acres</t>
  </si>
  <si>
    <t>1st Cutting</t>
  </si>
  <si>
    <t xml:space="preserve">Yield (tons/acre)     </t>
  </si>
  <si>
    <t xml:space="preserve">Price ($/ton)     </t>
  </si>
  <si>
    <t>Costs</t>
  </si>
  <si>
    <t>Harvesting Operations</t>
  </si>
  <si>
    <t>Per Acre</t>
  </si>
  <si>
    <t>Per Ton</t>
  </si>
  <si>
    <t>Total irrigation costs, if any?</t>
  </si>
  <si>
    <t>Other costs associated with this cutting?</t>
  </si>
  <si>
    <t>2nd Cutting</t>
  </si>
  <si>
    <t>3rd Cutting</t>
  </si>
  <si>
    <t>4th Cutting</t>
  </si>
  <si>
    <t>Seller's Share of Harvested Value</t>
  </si>
  <si>
    <t>1st</t>
  </si>
  <si>
    <t>2nd</t>
  </si>
  <si>
    <t>3rd</t>
  </si>
  <si>
    <t>4th</t>
  </si>
  <si>
    <t>Expected Yield (tons/ac)</t>
  </si>
  <si>
    <t>Expected Total Yield (tons)</t>
  </si>
  <si>
    <t>Expected Total Harvest Costs</t>
  </si>
  <si>
    <t>Entered as $/acre</t>
  </si>
  <si>
    <t>Entered as $/ton</t>
  </si>
  <si>
    <t>Expected Irrigation Costs ($/acre)</t>
  </si>
  <si>
    <t>Expected All Other Costs</t>
  </si>
  <si>
    <t>Price ($/ton)</t>
  </si>
  <si>
    <t>Revenues - Total</t>
  </si>
  <si>
    <t>Revenues - Per Acre Basis</t>
  </si>
  <si>
    <t>Revenues - Per Ton Basis</t>
  </si>
  <si>
    <t>Expenses - Total</t>
  </si>
  <si>
    <t>Expenses - Per Acre Basis</t>
  </si>
  <si>
    <t>Expenses - Per Ton Basis</t>
  </si>
  <si>
    <t>Profits - Total</t>
  </si>
  <si>
    <t>Profits - Per Acre Basis</t>
  </si>
  <si>
    <t>Profits - Per Ton Basis</t>
  </si>
  <si>
    <t>Total</t>
  </si>
  <si>
    <t>Standing Hay ABM Decision Tool</t>
  </si>
  <si>
    <t>Expected</t>
  </si>
  <si>
    <t>Price</t>
  </si>
  <si>
    <t>Expected Yield</t>
  </si>
  <si>
    <t>Price - Weighted ($/ton)</t>
  </si>
  <si>
    <t>SENSITIVITY ANALYSIS - PER ACRE</t>
  </si>
  <si>
    <t>Total Expected Yield (tons/acre)</t>
  </si>
  <si>
    <t>Total Expected Yield (tons)</t>
  </si>
  <si>
    <t>Hay Price - Weighted Average ($/ton)</t>
  </si>
  <si>
    <t>Field Size (acres)</t>
  </si>
  <si>
    <t xml:space="preserve">$/field  </t>
  </si>
  <si>
    <t xml:space="preserve">$/acre  </t>
  </si>
  <si>
    <t xml:space="preserve">$/ton  </t>
  </si>
  <si>
    <t xml:space="preserve">Gross Harvested Value </t>
  </si>
  <si>
    <t>Gross Harvested Value LESS Seller's Share</t>
  </si>
  <si>
    <t>Total Buyer Costs</t>
  </si>
  <si>
    <t>Gross Revenues less Seller's Share</t>
  </si>
  <si>
    <t>- Total</t>
  </si>
  <si>
    <t>- Per Acre</t>
  </si>
  <si>
    <t>- Per Ton</t>
  </si>
  <si>
    <t>Seller's Share of Gross Harvested Value</t>
  </si>
  <si>
    <t>Swath/Mow/Cut</t>
  </si>
  <si>
    <t>Jeffrey E.Tranel &amp; Jenny A. Beiermann, Agricultural and Business Management Economists</t>
  </si>
  <si>
    <t>July 2026</t>
  </si>
  <si>
    <t>Estimated Maximum Value of the Standing Hay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</si>
</sst>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00_);[Red]\(0.0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2"/>
      <color theme="1"/>
      <name val="Aptos Narrow"/>
      <family val="2"/>
      <scheme val="minor"/>
    </font>
    <font>
      <sz val="12"/>
      <color rgb="FF3333FF"/>
      <name val="Aptos Narrow"/>
      <family val="2"/>
      <scheme val="minor"/>
    </font>
    <font>
      <sz val="12"/>
      <name val="Aptos Narrow"/>
      <family val="2"/>
      <scheme val="minor"/>
    </font>
    <font>
      <b/>
      <sz val="16"/>
      <color rgb="FF008000"/>
      <name val="Comic Sans MS"/>
      <family val="4"/>
    </font>
    <font>
      <sz val="12"/>
      <color indexed="81"/>
      <name val="Tahoma"/>
      <family val="2"/>
    </font>
  </fonts>
  <fills count="11">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8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81">
    <xf numFmtId="0" fontId="0" fillId="0" borderId="0" xfId="0"/>
    <xf numFmtId="0" fontId="0" fillId="0" borderId="0" xfId="0" applyAlignment="1">
      <alignment horizontal="center" vertical="center"/>
    </xf>
    <xf numFmtId="0" fontId="0" fillId="0" borderId="0" xfId="0" applyAlignment="1">
      <alignment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xf numFmtId="0" fontId="2" fillId="4" borderId="0" xfId="0" applyFont="1" applyFill="1" applyAlignment="1">
      <alignment horizontal="center" vertical="center"/>
    </xf>
    <xf numFmtId="0" fontId="0" fillId="4" borderId="0" xfId="0" applyFill="1" applyAlignment="1">
      <alignment horizontal="center" vertical="center"/>
    </xf>
    <xf numFmtId="9" fontId="0" fillId="2" borderId="0" xfId="0" applyNumberFormat="1" applyFill="1" applyAlignment="1">
      <alignment horizontal="center" vertical="center"/>
    </xf>
    <xf numFmtId="0" fontId="0" fillId="0" borderId="0" xfId="0" applyAlignment="1">
      <alignment horizontal="right" vertical="center"/>
    </xf>
    <xf numFmtId="0" fontId="3" fillId="7" borderId="0" xfId="0" applyFont="1" applyFill="1" applyAlignment="1">
      <alignment vertical="center"/>
    </xf>
    <xf numFmtId="0" fontId="4" fillId="7" borderId="0" xfId="0" applyFont="1" applyFill="1" applyAlignment="1">
      <alignment vertical="center"/>
    </xf>
    <xf numFmtId="0" fontId="3" fillId="8" borderId="0" xfId="0" applyFont="1" applyFill="1" applyAlignment="1">
      <alignment vertical="center"/>
    </xf>
    <xf numFmtId="0" fontId="3" fillId="0" borderId="0" xfId="0" applyFont="1" applyAlignment="1">
      <alignment vertical="center"/>
    </xf>
    <xf numFmtId="0" fontId="3" fillId="0" borderId="0" xfId="0" applyFont="1" applyAlignment="1">
      <alignment horizontal="right" vertical="center"/>
    </xf>
    <xf numFmtId="40" fontId="5" fillId="6" borderId="1" xfId="0" applyNumberFormat="1" applyFont="1" applyFill="1" applyBorder="1" applyAlignment="1">
      <alignment horizontal="center" vertical="center"/>
    </xf>
    <xf numFmtId="38" fontId="5" fillId="6" borderId="1" xfId="0" applyNumberFormat="1" applyFont="1" applyFill="1" applyBorder="1" applyAlignment="1">
      <alignment horizontal="center" vertical="center"/>
    </xf>
    <xf numFmtId="0" fontId="3" fillId="0" borderId="0" xfId="0" applyFont="1" applyAlignment="1">
      <alignment horizontal="center" vertical="center"/>
    </xf>
    <xf numFmtId="0" fontId="5" fillId="6" borderId="1" xfId="0" applyFont="1" applyFill="1" applyBorder="1" applyAlignment="1">
      <alignment horizontal="center" vertical="center"/>
    </xf>
    <xf numFmtId="0" fontId="6" fillId="5" borderId="1" xfId="0" applyFont="1" applyFill="1" applyBorder="1" applyAlignment="1">
      <alignment horizontal="center" vertical="center"/>
    </xf>
    <xf numFmtId="9" fontId="5" fillId="6" borderId="1" xfId="1" applyFont="1" applyFill="1" applyBorder="1" applyAlignment="1">
      <alignment horizontal="center" vertical="center"/>
    </xf>
    <xf numFmtId="0" fontId="0" fillId="9" borderId="0" xfId="0" applyFill="1" applyAlignment="1">
      <alignment vertical="center"/>
    </xf>
    <xf numFmtId="0" fontId="0" fillId="9" borderId="2" xfId="0" applyFill="1" applyBorder="1" applyAlignment="1">
      <alignment horizontal="center" vertical="center"/>
    </xf>
    <xf numFmtId="38" fontId="0" fillId="9" borderId="0" xfId="0" applyNumberFormat="1" applyFill="1" applyAlignment="1">
      <alignment vertical="center"/>
    </xf>
    <xf numFmtId="40" fontId="0" fillId="9" borderId="0" xfId="0" applyNumberFormat="1" applyFill="1" applyAlignment="1">
      <alignment vertical="center"/>
    </xf>
    <xf numFmtId="0" fontId="0" fillId="9" borderId="0" xfId="0" applyFill="1" applyAlignment="1">
      <alignment horizontal="left" vertical="center" indent="4"/>
    </xf>
    <xf numFmtId="0" fontId="0" fillId="9" borderId="0" xfId="0" applyFill="1" applyAlignment="1">
      <alignment horizontal="left" vertical="center" indent="2"/>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164" fontId="0" fillId="0" borderId="0" xfId="0" applyNumberFormat="1" applyAlignment="1">
      <alignment horizontal="center" vertical="center"/>
    </xf>
    <xf numFmtId="38" fontId="0" fillId="0" borderId="0" xfId="0" applyNumberFormat="1" applyAlignment="1">
      <alignment vertical="center"/>
    </xf>
    <xf numFmtId="38" fontId="0" fillId="0" borderId="0" xfId="0" applyNumberFormat="1" applyAlignment="1">
      <alignment horizontal="center" vertical="center"/>
    </xf>
    <xf numFmtId="0" fontId="0" fillId="2" borderId="9" xfId="0" applyFill="1" applyBorder="1" applyAlignment="1">
      <alignment vertical="center"/>
    </xf>
    <xf numFmtId="38" fontId="0" fillId="2" borderId="0" xfId="0" applyNumberFormat="1" applyFill="1" applyAlignment="1">
      <alignment horizontal="center" vertical="center"/>
    </xf>
    <xf numFmtId="38" fontId="0" fillId="0" borderId="7" xfId="0" applyNumberFormat="1" applyBorder="1" applyAlignment="1">
      <alignment horizontal="center" vertical="center"/>
    </xf>
    <xf numFmtId="164" fontId="0" fillId="2" borderId="0" xfId="0" applyNumberFormat="1" applyFill="1" applyAlignment="1">
      <alignment horizontal="center" vertical="center"/>
    </xf>
    <xf numFmtId="38" fontId="0" fillId="0" borderId="2" xfId="0" applyNumberFormat="1" applyBorder="1" applyAlignment="1">
      <alignment horizontal="center" vertical="center"/>
    </xf>
    <xf numFmtId="38" fontId="3" fillId="0" borderId="0" xfId="0" applyNumberFormat="1" applyFont="1" applyAlignment="1">
      <alignment vertical="center"/>
    </xf>
    <xf numFmtId="40" fontId="3" fillId="0" borderId="0" xfId="0" applyNumberFormat="1" applyFont="1" applyAlignment="1">
      <alignment vertical="center"/>
    </xf>
    <xf numFmtId="38" fontId="0" fillId="2" borderId="2" xfId="0" applyNumberFormat="1" applyFill="1" applyBorder="1" applyAlignment="1">
      <alignment horizontal="center" vertical="center"/>
    </xf>
    <xf numFmtId="38" fontId="0" fillId="0" borderId="11" xfId="0" applyNumberFormat="1" applyBorder="1" applyAlignment="1">
      <alignment horizontal="center" vertical="center"/>
    </xf>
    <xf numFmtId="0" fontId="0" fillId="8" borderId="0" xfId="0" applyFill="1" applyAlignment="1">
      <alignment vertical="center"/>
    </xf>
    <xf numFmtId="0" fontId="0" fillId="8" borderId="0" xfId="0" applyFill="1" applyAlignment="1">
      <alignment vertical="center" wrapText="1"/>
    </xf>
    <xf numFmtId="165" fontId="0" fillId="8" borderId="0" xfId="0" applyNumberFormat="1" applyFill="1" applyAlignment="1">
      <alignment vertical="center"/>
    </xf>
    <xf numFmtId="0" fontId="0" fillId="10" borderId="0" xfId="0" applyFill="1" applyAlignment="1">
      <alignment vertical="center"/>
    </xf>
    <xf numFmtId="38" fontId="0" fillId="10" borderId="0" xfId="0" applyNumberFormat="1" applyFill="1" applyAlignment="1">
      <alignment vertical="center"/>
    </xf>
    <xf numFmtId="0" fontId="0" fillId="0" borderId="2" xfId="0" applyBorder="1" applyAlignment="1">
      <alignment vertical="center"/>
    </xf>
    <xf numFmtId="0" fontId="3" fillId="0" borderId="0" xfId="0" applyFont="1" applyAlignment="1">
      <alignment horizontal="left" vertical="center" indent="1"/>
    </xf>
    <xf numFmtId="0" fontId="0" fillId="9" borderId="0" xfId="0" quotePrefix="1" applyFill="1" applyAlignment="1">
      <alignment horizontal="left" vertical="center" indent="4"/>
    </xf>
    <xf numFmtId="165" fontId="0" fillId="0" borderId="10" xfId="0" applyNumberFormat="1" applyBorder="1" applyAlignment="1">
      <alignment horizontal="center" vertical="center"/>
    </xf>
    <xf numFmtId="40" fontId="0" fillId="0" borderId="7" xfId="0" applyNumberFormat="1" applyBorder="1" applyAlignment="1">
      <alignment horizontal="center" vertical="center"/>
    </xf>
    <xf numFmtId="165" fontId="0" fillId="0" borderId="12" xfId="0" applyNumberFormat="1" applyBorder="1" applyAlignment="1">
      <alignment horizontal="center" vertical="center"/>
    </xf>
    <xf numFmtId="40" fontId="0" fillId="0" borderId="11" xfId="0" applyNumberFormat="1" applyBorder="1" applyAlignment="1">
      <alignment horizontal="center" vertical="center"/>
    </xf>
    <xf numFmtId="0" fontId="7" fillId="0" borderId="0" xfId="0" applyFont="1" applyAlignment="1">
      <alignment horizontal="center" vertical="center"/>
    </xf>
    <xf numFmtId="0" fontId="4" fillId="7" borderId="0" xfId="0" applyFont="1" applyFill="1" applyAlignment="1">
      <alignment horizontal="left" vertical="center"/>
    </xf>
    <xf numFmtId="0" fontId="0" fillId="0" borderId="0" xfId="0" applyAlignment="1">
      <alignment horizontal="center" vertical="center"/>
    </xf>
    <xf numFmtId="17" fontId="0" fillId="0" borderId="0" xfId="0" quotePrefix="1" applyNumberFormat="1" applyAlignment="1">
      <alignment horizontal="center" vertical="center"/>
    </xf>
    <xf numFmtId="0" fontId="3" fillId="0" borderId="2" xfId="0" applyFont="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0" borderId="0" xfId="0" applyFont="1" applyAlignment="1">
      <alignment horizontal="left" vertical="center"/>
    </xf>
    <xf numFmtId="0" fontId="0" fillId="0" borderId="0" xfId="0" applyAlignment="1">
      <alignment horizontal="right" vertical="center"/>
    </xf>
    <xf numFmtId="0" fontId="3" fillId="0" borderId="0" xfId="0" applyFont="1" applyAlignment="1">
      <alignment horizontal="right" vertical="center"/>
    </xf>
    <xf numFmtId="0" fontId="3" fillId="0" borderId="7" xfId="0" applyFont="1" applyBorder="1" applyAlignment="1">
      <alignment horizontal="right" vertical="center"/>
    </xf>
    <xf numFmtId="0" fontId="3" fillId="0" borderId="2" xfId="0" applyFont="1" applyBorder="1" applyAlignment="1">
      <alignment horizontal="left" vertical="center"/>
    </xf>
    <xf numFmtId="0" fontId="0" fillId="2" borderId="10" xfId="0" applyFill="1" applyBorder="1" applyAlignment="1">
      <alignment horizontal="right" vertical="center" wrapText="1"/>
    </xf>
    <xf numFmtId="38" fontId="0" fillId="2" borderId="0" xfId="0" applyNumberFormat="1" applyFill="1" applyAlignment="1">
      <alignment horizontal="center" vertical="center"/>
    </xf>
    <xf numFmtId="38" fontId="0" fillId="2" borderId="7" xfId="0" applyNumberFormat="1" applyFill="1" applyBorder="1" applyAlignment="1">
      <alignment horizontal="center" vertical="center"/>
    </xf>
    <xf numFmtId="0" fontId="4" fillId="8" borderId="0" xfId="0" applyFont="1" applyFill="1" applyAlignment="1">
      <alignment horizontal="center" vertical="center"/>
    </xf>
    <xf numFmtId="40" fontId="0" fillId="2" borderId="7" xfId="0" applyNumberFormat="1" applyFill="1" applyBorder="1" applyAlignment="1">
      <alignment horizontal="center" vertical="center"/>
    </xf>
    <xf numFmtId="0" fontId="0" fillId="2" borderId="7" xfId="0" applyFill="1" applyBorder="1" applyAlignment="1">
      <alignment horizontal="center" vertical="center"/>
    </xf>
    <xf numFmtId="0" fontId="4" fillId="0" borderId="2" xfId="0" applyFont="1" applyBorder="1" applyAlignment="1">
      <alignment horizontal="center" vertical="center"/>
    </xf>
    <xf numFmtId="38" fontId="3" fillId="0" borderId="0" xfId="0" applyNumberFormat="1" applyFont="1" applyAlignment="1">
      <alignment horizontal="center" vertical="center"/>
    </xf>
    <xf numFmtId="38" fontId="4" fillId="0" borderId="2" xfId="0" applyNumberFormat="1" applyFont="1" applyBorder="1" applyAlignment="1">
      <alignment horizontal="center" vertical="center"/>
    </xf>
    <xf numFmtId="38" fontId="4" fillId="0" borderId="0" xfId="0" applyNumberFormat="1" applyFont="1" applyAlignment="1">
      <alignment horizontal="center" vertical="center"/>
    </xf>
    <xf numFmtId="0" fontId="3" fillId="0" borderId="9" xfId="0" applyFont="1" applyBorder="1" applyAlignment="1">
      <alignment horizontal="left" vertical="center" indent="1"/>
    </xf>
    <xf numFmtId="0" fontId="3" fillId="0" borderId="0" xfId="0" applyFont="1" applyAlignment="1">
      <alignment horizontal="left" vertical="center" indent="1"/>
    </xf>
    <xf numFmtId="0" fontId="4" fillId="0" borderId="0" xfId="0" applyFont="1" applyAlignment="1">
      <alignment horizontal="left" vertical="center" indent="1"/>
    </xf>
  </cellXfs>
  <cellStyles count="2">
    <cellStyle name="Normal" xfId="0" builtinId="0"/>
    <cellStyle name="Percent" xfId="1" builtinId="5"/>
  </cellStyles>
  <dxfs count="0"/>
  <tableStyles count="0" defaultTableStyle="TableStyleMedium2" defaultPivotStyle="PivotStyleLight16"/>
  <colors>
    <mruColors>
      <color rgb="FF3333FF"/>
      <color rgb="FF008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9524</xdr:rowOff>
    </xdr:from>
    <xdr:to>
      <xdr:col>11</xdr:col>
      <xdr:colOff>102974</xdr:colOff>
      <xdr:row>1</xdr:row>
      <xdr:rowOff>1238249</xdr:rowOff>
    </xdr:to>
    <xdr:pic>
      <xdr:nvPicPr>
        <xdr:cNvPr id="2" name="Picture 1">
          <a:extLst>
            <a:ext uri="{FF2B5EF4-FFF2-40B4-BE49-F238E27FC236}">
              <a16:creationId xmlns:a16="http://schemas.microsoft.com/office/drawing/2014/main" id="{55BE1884-63F6-4C50-B774-3972B75331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1727" y="70138"/>
          <a:ext cx="5168542"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438150</xdr:colOff>
      <xdr:row>1</xdr:row>
      <xdr:rowOff>1</xdr:rowOff>
    </xdr:from>
    <xdr:to>
      <xdr:col>25</xdr:col>
      <xdr:colOff>337705</xdr:colOff>
      <xdr:row>35</xdr:row>
      <xdr:rowOff>51955</xdr:rowOff>
    </xdr:to>
    <xdr:sp macro="" textlink="">
      <xdr:nvSpPr>
        <xdr:cNvPr id="3" name="Rectangle: Rounded Corners 2">
          <a:extLst>
            <a:ext uri="{FF2B5EF4-FFF2-40B4-BE49-F238E27FC236}">
              <a16:creationId xmlns:a16="http://schemas.microsoft.com/office/drawing/2014/main" id="{499C2A82-29DD-85B1-D325-3C665E203C3F}"/>
            </a:ext>
          </a:extLst>
        </xdr:cNvPr>
        <xdr:cNvSpPr/>
      </xdr:nvSpPr>
      <xdr:spPr>
        <a:xfrm>
          <a:off x="5928014" y="60615"/>
          <a:ext cx="7779327" cy="8130885"/>
        </a:xfrm>
        <a:prstGeom prst="roundRect">
          <a:avLst/>
        </a:prstGeom>
        <a:solidFill>
          <a:schemeClr val="accent4">
            <a:lumMod val="20000"/>
            <a:lumOff val="80000"/>
          </a:schemeClr>
        </a:solidFill>
        <a:ln w="38100">
          <a:solidFill>
            <a:srgbClr val="008000"/>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solidFill>
                <a:sysClr val="windowText" lastClr="000000"/>
              </a:solidFill>
            </a:rPr>
            <a:t>INSTRUCTIONS</a:t>
          </a:r>
        </a:p>
        <a:p>
          <a:pPr algn="ctr"/>
          <a:endParaRPr lang="en-US" sz="1400" b="1">
            <a:solidFill>
              <a:sysClr val="windowText" lastClr="000000"/>
            </a:solidFill>
          </a:endParaRPr>
        </a:p>
        <a:p>
          <a:pPr algn="l"/>
          <a:r>
            <a:rPr lang="en-US" sz="1200" b="0">
              <a:solidFill>
                <a:sysClr val="windowText" lastClr="000000"/>
              </a:solidFill>
            </a:rPr>
            <a:t>The </a:t>
          </a:r>
          <a:r>
            <a:rPr lang="en-US" sz="1200" b="0" u="sng">
              <a:solidFill>
                <a:sysClr val="windowText" lastClr="000000"/>
              </a:solidFill>
            </a:rPr>
            <a:t>Standing Hay ABM Decision Tool </a:t>
          </a:r>
          <a:r>
            <a:rPr lang="en-US" sz="1200" b="0">
              <a:solidFill>
                <a:sysClr val="windowText" lastClr="000000"/>
              </a:solidFill>
            </a:rPr>
            <a:t>is designed to help hay buyers and sellers evaluate the economic value of hay sold standing in the field. The tool provides a consistent framework for estimating standing-hay value based on expected forage production, anticipated hay prices, harvesting costs, and the allocation of risk between the parties involved in the transaction.</a:t>
          </a:r>
        </a:p>
        <a:p>
          <a:pPr algn="l"/>
          <a:endParaRPr lang="en-US" sz="1200" b="0">
            <a:solidFill>
              <a:sysClr val="windowText" lastClr="000000"/>
            </a:solidFill>
          </a:endParaRPr>
        </a:p>
        <a:p>
          <a:pPr algn="l"/>
          <a:r>
            <a:rPr lang="en-US" sz="1200" b="0" baseline="0">
              <a:solidFill>
                <a:sysClr val="windowText" lastClr="000000"/>
              </a:solidFill>
            </a:rPr>
            <a:t>Cells having a green background contain a "dropdown menu". Place the cursor in the cell, right click on the down arrow which appears on the right side of the cell, and select one of the options from the list. Also, additional instructions are available in any cell having a red triangle in the top right corner. Simply, click on the cell, and the instructions will appear in a text box.</a:t>
          </a:r>
        </a:p>
        <a:p>
          <a:pPr algn="l"/>
          <a:endParaRPr lang="en-US" sz="1200" b="0" baseline="0">
            <a:solidFill>
              <a:sysClr val="windowText" lastClr="000000"/>
            </a:solidFill>
          </a:endParaRPr>
        </a:p>
        <a:p>
          <a:pPr algn="l"/>
          <a:r>
            <a:rPr lang="en-US" sz="1200" b="0" baseline="0">
              <a:solidFill>
                <a:sysClr val="windowText" lastClr="000000"/>
              </a:solidFill>
            </a:rPr>
            <a:t>Cells having a pale yellow background are for entering one's own data.</a:t>
          </a:r>
        </a:p>
        <a:p>
          <a:pPr algn="l"/>
          <a:endParaRPr lang="en-US" sz="1200" b="0" baseline="0">
            <a:solidFill>
              <a:sysClr val="windowText" lastClr="000000"/>
            </a:solidFill>
          </a:endParaRPr>
        </a:p>
        <a:p>
          <a:pPr algn="l"/>
          <a:r>
            <a:rPr lang="en-US" sz="1200" b="0" baseline="0">
              <a:solidFill>
                <a:sysClr val="windowText" lastClr="000000"/>
              </a:solidFill>
            </a:rPr>
            <a:t>You will need to enter:</a:t>
          </a:r>
        </a:p>
        <a:p>
          <a:pPr algn="l"/>
          <a:r>
            <a:rPr lang="en-US" sz="1200" b="0" baseline="0">
              <a:solidFill>
                <a:sysClr val="windowText" lastClr="000000"/>
              </a:solidFill>
            </a:rPr>
            <a:t>1. Select the hay type (e.g., alfalfa, grass hay, etc.) from the dropdown list.</a:t>
          </a:r>
        </a:p>
        <a:p>
          <a:pPr algn="l"/>
          <a:r>
            <a:rPr lang="en-US" sz="1200" b="0" baseline="0">
              <a:solidFill>
                <a:sysClr val="windowText" lastClr="000000"/>
              </a:solidFill>
            </a:rPr>
            <a:t>2. Enter the number of acres that will be harvested.</a:t>
          </a:r>
        </a:p>
        <a:p>
          <a:pPr algn="l"/>
          <a:r>
            <a:rPr lang="en-US" sz="1200" b="0" baseline="0">
              <a:solidFill>
                <a:sysClr val="windowText" lastClr="000000"/>
              </a:solidFill>
            </a:rPr>
            <a:t>3. Enter the seller's (landowner) share of the harvested value as a percentage. If the person selling the standing hay will receive none of the actual hay, enter a zero ("0).</a:t>
          </a:r>
        </a:p>
        <a:p>
          <a:pPr algn="l"/>
          <a:endParaRPr lang="en-US" sz="1200" b="0" baseline="0">
            <a:solidFill>
              <a:sysClr val="windowText" lastClr="000000"/>
            </a:solidFill>
          </a:endParaRPr>
        </a:p>
        <a:p>
          <a:pPr algn="l"/>
          <a:r>
            <a:rPr lang="en-US" sz="1200" b="0" baseline="0">
              <a:solidFill>
                <a:sysClr val="windowText" lastClr="000000"/>
              </a:solidFill>
            </a:rPr>
            <a:t>This ABM Decision Tool allows the user to enter data for as many as four cuttings. If there will be less than four cuttings, be sure the data cells (pale yellow) all contain a "0" (zero).</a:t>
          </a:r>
        </a:p>
        <a:p>
          <a:pPr algn="l"/>
          <a:endParaRPr lang="en-US" sz="1200" b="0" baseline="0">
            <a:solidFill>
              <a:sysClr val="windowText" lastClr="000000"/>
            </a:solidFill>
          </a:endParaRPr>
        </a:p>
        <a:p>
          <a:pPr algn="l"/>
          <a:r>
            <a:rPr lang="en-US" sz="1200" b="1" baseline="0">
              <a:solidFill>
                <a:sysClr val="windowText" lastClr="000000"/>
              </a:solidFill>
            </a:rPr>
            <a:t>For each cutting</a:t>
          </a:r>
          <a:r>
            <a:rPr lang="en-US" sz="1200" b="0" baseline="0">
              <a:solidFill>
                <a:sysClr val="windowText" lastClr="000000"/>
              </a:solidFill>
            </a:rPr>
            <a:t>, you will need to:</a:t>
          </a:r>
        </a:p>
        <a:p>
          <a:pPr algn="l"/>
          <a:r>
            <a:rPr lang="en-US" sz="1200" b="0" baseline="0">
              <a:solidFill>
                <a:sysClr val="windowText" lastClr="000000"/>
              </a:solidFill>
            </a:rPr>
            <a:t>1. enter the expected yield on a tons per acre basis.</a:t>
          </a:r>
        </a:p>
        <a:p>
          <a:pPr algn="l"/>
          <a:r>
            <a:rPr lang="en-US" sz="1200" b="0" baseline="0">
              <a:solidFill>
                <a:sysClr val="windowText" lastClr="000000"/>
              </a:solidFill>
            </a:rPr>
            <a:t>2. enter the price per ton for the hay/feed.</a:t>
          </a:r>
        </a:p>
        <a:p>
          <a:pPr algn="l"/>
          <a:r>
            <a:rPr lang="en-US" sz="1200" b="0" baseline="0">
              <a:solidFill>
                <a:sysClr val="windowText" lastClr="000000"/>
              </a:solidFill>
            </a:rPr>
            <a:t>3. select a harvesting operation from the dropdown list. If the desired operation type is not on the list, select "Other". If an operation is repeated (e.g., the hay will be raked twice), enter "Rake" as two separate operations.</a:t>
          </a:r>
        </a:p>
        <a:p>
          <a:pPr algn="l"/>
          <a:r>
            <a:rPr lang="en-US" sz="1200" b="0" baseline="0">
              <a:solidFill>
                <a:sysClr val="windowText" lastClr="000000"/>
              </a:solidFill>
            </a:rPr>
            <a:t>4. enter the cost for each operation on either a per acre basis or a per ton basis. Do NOT enter the cost of an operation in both places.</a:t>
          </a:r>
        </a:p>
        <a:p>
          <a:pPr algn="l"/>
          <a:r>
            <a:rPr lang="en-US" sz="1200" b="0" baseline="0">
              <a:solidFill>
                <a:sysClr val="windowText" lastClr="000000"/>
              </a:solidFill>
            </a:rPr>
            <a:t>5. enter any irrigation costs - water, power, labor, repairs and maintenance, etc. - on a per acre basis.</a:t>
          </a:r>
        </a:p>
        <a:p>
          <a:pPr algn="l"/>
          <a:r>
            <a:rPr lang="en-US" sz="1200" b="0" baseline="0">
              <a:solidFill>
                <a:sysClr val="windowText" lastClr="000000"/>
              </a:solidFill>
            </a:rPr>
            <a:t>6. enter all other costs on either a per acre basis or a per ton basis.</a:t>
          </a:r>
        </a:p>
        <a:p>
          <a:pPr algn="l"/>
          <a:endParaRPr lang="en-US" sz="1200" b="0" baseline="0">
            <a:solidFill>
              <a:sysClr val="windowText" lastClr="000000"/>
            </a:solidFill>
          </a:endParaRPr>
        </a:p>
        <a:p>
          <a:pPr algn="l"/>
          <a:r>
            <a:rPr lang="en-US" sz="1200" b="0" baseline="0">
              <a:solidFill>
                <a:sysClr val="windowText" lastClr="000000"/>
              </a:solidFill>
            </a:rPr>
            <a:t>After entering the requested data and making sure all other pale yellow cells contain a zero,  click on the </a:t>
          </a:r>
          <a:r>
            <a:rPr lang="en-US" sz="1200" b="1" baseline="0">
              <a:solidFill>
                <a:sysClr val="windowText" lastClr="000000"/>
              </a:solidFill>
            </a:rPr>
            <a:t>Results</a:t>
          </a:r>
          <a:r>
            <a:rPr lang="en-US" sz="1200" b="0" baseline="0">
              <a:solidFill>
                <a:sysClr val="windowText" lastClr="000000"/>
              </a:solidFill>
            </a:rPr>
            <a:t> tab.</a:t>
          </a:r>
        </a:p>
        <a:p>
          <a:pPr algn="l"/>
          <a:endParaRPr lang="en-US" sz="1200" b="0" baseline="0">
            <a:solidFill>
              <a:sysClr val="windowText" lastClr="000000"/>
            </a:solidFill>
          </a:endParaRPr>
        </a:p>
        <a:p>
          <a:pPr algn="ctr"/>
          <a:r>
            <a:rPr lang="en-US" sz="1200" b="1" baseline="0">
              <a:solidFill>
                <a:srgbClr val="3333FF"/>
              </a:solidFill>
            </a:rPr>
            <a:t>An accompanying ABM Note (fact sheet) and other resources are available at the ABM web site.</a:t>
          </a:r>
          <a:endParaRPr lang="en-US" sz="1200" b="1">
            <a:solidFill>
              <a:srgbClr val="3333FF"/>
            </a:solidFill>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438150</xdr:colOff>
      <xdr:row>14</xdr:row>
      <xdr:rowOff>123825</xdr:rowOff>
    </xdr:from>
    <xdr:to>
      <xdr:col>27</xdr:col>
      <xdr:colOff>292677</xdr:colOff>
      <xdr:row>30</xdr:row>
      <xdr:rowOff>66675</xdr:rowOff>
    </xdr:to>
    <xdr:sp macro="" textlink="">
      <xdr:nvSpPr>
        <xdr:cNvPr id="2" name="Rectangle: Rounded Corners 1">
          <a:extLst>
            <a:ext uri="{FF2B5EF4-FFF2-40B4-BE49-F238E27FC236}">
              <a16:creationId xmlns:a16="http://schemas.microsoft.com/office/drawing/2014/main" id="{5E859958-EEBF-4402-99B2-DAEDE4973918}"/>
            </a:ext>
          </a:extLst>
        </xdr:cNvPr>
        <xdr:cNvSpPr/>
      </xdr:nvSpPr>
      <xdr:spPr>
        <a:xfrm>
          <a:off x="8105775" y="3638550"/>
          <a:ext cx="7779327" cy="2809875"/>
        </a:xfrm>
        <a:prstGeom prst="roundRect">
          <a:avLst/>
        </a:prstGeom>
        <a:solidFill>
          <a:schemeClr val="accent4">
            <a:lumMod val="20000"/>
            <a:lumOff val="80000"/>
          </a:schemeClr>
        </a:solidFill>
        <a:ln w="38100">
          <a:solidFill>
            <a:srgbClr val="008000"/>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solidFill>
                <a:sysClr val="windowText" lastClr="000000"/>
              </a:solidFill>
            </a:rPr>
            <a:t>SENSITIVITY ANALYSIS</a:t>
          </a:r>
        </a:p>
        <a:p>
          <a:pPr algn="l"/>
          <a:endParaRPr lang="en-US" sz="1400" b="1">
            <a:solidFill>
              <a:sysClr val="windowText" lastClr="000000"/>
            </a:solidFill>
          </a:endParaRPr>
        </a:p>
        <a:p>
          <a:pPr algn="l"/>
          <a:r>
            <a:rPr lang="en-US" sz="1200" b="0">
              <a:solidFill>
                <a:sysClr val="windowText" lastClr="000000"/>
              </a:solidFill>
            </a:rPr>
            <a:t>The sensitivity analysis shows the maximum value of the standing hay on a per acre</a:t>
          </a:r>
          <a:r>
            <a:rPr lang="en-US" sz="1200" b="0" baseline="0">
              <a:solidFill>
                <a:sysClr val="windowText" lastClr="000000"/>
              </a:solidFill>
            </a:rPr>
            <a:t> basis </a:t>
          </a:r>
          <a:r>
            <a:rPr lang="en-US" sz="1200" b="0">
              <a:solidFill>
                <a:sysClr val="windowText" lastClr="000000"/>
              </a:solidFill>
            </a:rPr>
            <a:t>with changes to both expected prices and expected yields.</a:t>
          </a:r>
        </a:p>
        <a:p>
          <a:pPr algn="l"/>
          <a:endParaRPr lang="en-US" sz="1200" b="0">
            <a:solidFill>
              <a:sysClr val="windowText" lastClr="000000"/>
            </a:solidFill>
          </a:endParaRPr>
        </a:p>
        <a:p>
          <a:pPr algn="l"/>
          <a:r>
            <a:rPr lang="en-US" sz="1200" b="0">
              <a:solidFill>
                <a:sysClr val="windowText" lastClr="000000"/>
              </a:solidFill>
            </a:rPr>
            <a:t>The</a:t>
          </a:r>
          <a:r>
            <a:rPr lang="en-US" sz="1200" b="0" baseline="0">
              <a:solidFill>
                <a:sysClr val="windowText" lastClr="000000"/>
              </a:solidFill>
            </a:rPr>
            <a:t> top line of the table shows the expected price (pale green background) is the weighted average price per ton. To the left of the expected prices are decreased prices and to the right of the expected price are increased prices - both at increments of $50, $75, $100, and $150 per ton.</a:t>
          </a:r>
        </a:p>
        <a:p>
          <a:pPr algn="l"/>
          <a:endParaRPr lang="en-US" sz="1200" b="0" baseline="0">
            <a:solidFill>
              <a:sysClr val="windowText" lastClr="000000"/>
            </a:solidFill>
          </a:endParaRPr>
        </a:p>
        <a:p>
          <a:pPr algn="l"/>
          <a:r>
            <a:rPr lang="en-US" sz="1200" b="0" baseline="0">
              <a:solidFill>
                <a:sysClr val="windowText" lastClr="000000"/>
              </a:solidFill>
            </a:rPr>
            <a:t>The left column shows the expected total yield per acre (pale green background. Above the expected yield are decreases in yield and below the expected yield are increases in yield - both at increments of 0.50, 1.00, 1.50, and 2.00 tons per acre.</a:t>
          </a:r>
        </a:p>
        <a:p>
          <a:pPr algn="l"/>
          <a:endParaRPr lang="en-US" sz="1200" b="0" baseline="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isk%20-%20Financial/ABM_Decision_Tool_SellingStandingHay_2026_07_17.xlsm" TargetMode="External"/><Relationship Id="rId2" Type="http://schemas.openxmlformats.org/officeDocument/2006/relationships/externalLinkPath" Target="file:///D:\2024_11_07\001%20-%20ABM\ABM%20Notes%20-%20Decision%20Tools%20-%20Enterprise%20Budgets\Risk%20-%20Financial\ABM_Decision_Tool_SellingStandingHay_2026_07_17.xlsm" TargetMode="External"/><Relationship Id="rId1" Type="http://schemas.openxmlformats.org/officeDocument/2006/relationships/externalLinkPath" Target="/2024_11_07/001%20-%20ABM/ABM%20Notes%20-%20Decision%20Tools%20-%20Enterprise%20Budgets/Risk%20-%20Financial/ABM_Decision_Tool_SellingStandingHay_2026_07_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put"/>
      <sheetName val="Results"/>
      <sheetName val="Sheet1"/>
    </sheetNames>
    <sheetDataSet>
      <sheetData sheetId="0" refreshError="1"/>
      <sheetData sheetId="1" refreshError="1"/>
      <sheetData sheetId="2">
        <row r="2">
          <cell r="D2" t="str">
            <v>Harvest Operations</v>
          </cell>
        </row>
        <row r="3">
          <cell r="D3" t="str">
            <v>Mow</v>
          </cell>
        </row>
        <row r="4">
          <cell r="D4" t="str">
            <v>Swath</v>
          </cell>
        </row>
        <row r="5">
          <cell r="D5" t="str">
            <v>Rake</v>
          </cell>
        </row>
        <row r="6">
          <cell r="D6" t="str">
            <v>Bale</v>
          </cell>
        </row>
        <row r="7">
          <cell r="D7" t="str">
            <v>Haul</v>
          </cell>
        </row>
        <row r="8">
          <cell r="D8" t="str">
            <v>Stack</v>
          </cell>
        </row>
        <row r="9">
          <cell r="D9" t="str">
            <v>Cut/Rake/Bale</v>
          </cell>
        </row>
        <row r="10">
          <cell r="D10" t="str">
            <v>Cut/Rake/Bale/Haul</v>
          </cell>
        </row>
        <row r="11">
          <cell r="D11" t="str">
            <v>Other</v>
          </cell>
        </row>
        <row r="12">
          <cell r="D12"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DD91-663A-405F-901A-FD2A62A4267B}">
  <dimension ref="B1:N82"/>
  <sheetViews>
    <sheetView showGridLines="0" tabSelected="1" zoomScale="110" zoomScaleNormal="110" workbookViewId="0">
      <selection activeCell="B3" sqref="B3:L3"/>
    </sheetView>
  </sheetViews>
  <sheetFormatPr defaultRowHeight="15" customHeight="1" x14ac:dyDescent="0.25"/>
  <cols>
    <col min="1" max="1" width="4.7109375" style="2" customWidth="1"/>
    <col min="2" max="3" width="1.7109375" style="2" customWidth="1"/>
    <col min="4" max="6" width="12.7109375" style="2" customWidth="1"/>
    <col min="7" max="7" width="1.7109375" style="2" customWidth="1"/>
    <col min="8" max="8" width="14.7109375" style="2" customWidth="1"/>
    <col min="9" max="9" width="1.7109375" style="2" customWidth="1"/>
    <col min="10" max="10" width="14.7109375" style="2" customWidth="1"/>
    <col min="11" max="12" width="1.7109375" style="2" customWidth="1"/>
    <col min="13" max="16384" width="9.140625" style="2"/>
  </cols>
  <sheetData>
    <row r="1" spans="2:14" ht="5.0999999999999996" customHeight="1" x14ac:dyDescent="0.25"/>
    <row r="2" spans="2:14" ht="100.5" customHeight="1" x14ac:dyDescent="0.25"/>
    <row r="3" spans="2:14" ht="30" customHeight="1" x14ac:dyDescent="0.25">
      <c r="B3" s="55" t="s">
        <v>57</v>
      </c>
      <c r="C3" s="55"/>
      <c r="D3" s="55"/>
      <c r="E3" s="55"/>
      <c r="F3" s="55"/>
      <c r="G3" s="55"/>
      <c r="H3" s="55"/>
      <c r="I3" s="55"/>
      <c r="J3" s="55"/>
      <c r="K3" s="55"/>
      <c r="L3" s="55"/>
    </row>
    <row r="4" spans="2:14" ht="15" customHeight="1" x14ac:dyDescent="0.25">
      <c r="B4" s="57" t="s">
        <v>79</v>
      </c>
      <c r="C4" s="57"/>
      <c r="D4" s="57"/>
      <c r="E4" s="57"/>
      <c r="F4" s="57"/>
      <c r="G4" s="57"/>
      <c r="H4" s="57"/>
      <c r="I4" s="57"/>
      <c r="J4" s="57"/>
      <c r="K4" s="57"/>
      <c r="L4" s="57"/>
    </row>
    <row r="5" spans="2:14" ht="15" customHeight="1" x14ac:dyDescent="0.25">
      <c r="B5" s="57" t="s">
        <v>0</v>
      </c>
      <c r="C5" s="57"/>
      <c r="D5" s="57"/>
      <c r="E5" s="57"/>
      <c r="F5" s="57"/>
      <c r="G5" s="57"/>
      <c r="H5" s="57"/>
      <c r="I5" s="57"/>
      <c r="J5" s="57"/>
      <c r="K5" s="57"/>
      <c r="L5" s="57"/>
    </row>
    <row r="6" spans="2:14" ht="15" customHeight="1" x14ac:dyDescent="0.25">
      <c r="B6" s="58" t="s">
        <v>80</v>
      </c>
      <c r="C6" s="57"/>
      <c r="D6" s="57"/>
      <c r="E6" s="57"/>
      <c r="F6" s="57"/>
      <c r="G6" s="57"/>
      <c r="H6" s="57"/>
      <c r="I6" s="57"/>
      <c r="J6" s="57"/>
      <c r="K6" s="57"/>
      <c r="L6" s="57"/>
      <c r="M6" s="10"/>
      <c r="N6" s="10"/>
    </row>
    <row r="8" spans="2:14" ht="20.100000000000001" customHeight="1" x14ac:dyDescent="0.25">
      <c r="F8" s="15" t="s">
        <v>1</v>
      </c>
      <c r="H8" s="20" t="s">
        <v>1</v>
      </c>
    </row>
    <row r="9" spans="2:14" ht="20.100000000000001" customHeight="1" x14ac:dyDescent="0.25">
      <c r="F9" s="15" t="s">
        <v>21</v>
      </c>
      <c r="G9" s="14"/>
      <c r="H9" s="19">
        <v>130</v>
      </c>
      <c r="I9" s="14"/>
    </row>
    <row r="10" spans="2:14" ht="20.100000000000001" customHeight="1" x14ac:dyDescent="0.25">
      <c r="D10" s="64" t="s">
        <v>34</v>
      </c>
      <c r="E10" s="64"/>
      <c r="F10" s="64"/>
      <c r="H10" s="21">
        <v>0</v>
      </c>
    </row>
    <row r="12" spans="2:14" ht="20.100000000000001" customHeight="1" x14ac:dyDescent="0.25">
      <c r="B12" s="11"/>
      <c r="C12" s="11"/>
      <c r="D12" s="56" t="s">
        <v>22</v>
      </c>
      <c r="E12" s="56"/>
      <c r="F12" s="12"/>
      <c r="G12" s="12"/>
      <c r="H12" s="12"/>
      <c r="I12" s="12"/>
      <c r="J12" s="12"/>
      <c r="K12" s="11"/>
      <c r="L12" s="11"/>
    </row>
    <row r="13" spans="2:14" ht="5.0999999999999996" customHeight="1" x14ac:dyDescent="0.25">
      <c r="B13" s="13"/>
      <c r="C13" s="14"/>
      <c r="D13" s="14"/>
      <c r="E13" s="14"/>
      <c r="F13" s="14"/>
      <c r="G13" s="14"/>
      <c r="H13" s="14"/>
      <c r="I13" s="14"/>
      <c r="J13" s="14"/>
      <c r="K13" s="14"/>
      <c r="L13" s="13"/>
    </row>
    <row r="14" spans="2:14" ht="20.100000000000001" customHeight="1" x14ac:dyDescent="0.25">
      <c r="B14" s="13"/>
      <c r="C14" s="14"/>
      <c r="D14" s="65" t="s">
        <v>23</v>
      </c>
      <c r="E14" s="66"/>
      <c r="F14" s="16">
        <v>2.5</v>
      </c>
      <c r="G14" s="14"/>
      <c r="H14" s="15"/>
      <c r="I14" s="14"/>
      <c r="J14" s="14"/>
      <c r="K14" s="14"/>
      <c r="L14" s="13"/>
    </row>
    <row r="15" spans="2:14" ht="20.100000000000001" customHeight="1" x14ac:dyDescent="0.25">
      <c r="B15" s="13"/>
      <c r="C15" s="14"/>
      <c r="D15" s="65" t="s">
        <v>24</v>
      </c>
      <c r="E15" s="66"/>
      <c r="F15" s="17">
        <v>400</v>
      </c>
      <c r="G15" s="14"/>
      <c r="H15" s="14"/>
      <c r="I15" s="14"/>
      <c r="J15" s="14"/>
      <c r="K15" s="14"/>
      <c r="L15" s="13"/>
    </row>
    <row r="16" spans="2:14" ht="15" customHeight="1" x14ac:dyDescent="0.25">
      <c r="B16" s="13"/>
      <c r="C16" s="14"/>
      <c r="D16" s="14"/>
      <c r="E16" s="14"/>
      <c r="F16" s="14"/>
      <c r="G16" s="14"/>
      <c r="H16" s="59" t="s">
        <v>25</v>
      </c>
      <c r="I16" s="59"/>
      <c r="J16" s="59"/>
      <c r="K16" s="14"/>
      <c r="L16" s="13"/>
    </row>
    <row r="17" spans="2:12" ht="15" customHeight="1" x14ac:dyDescent="0.25">
      <c r="B17" s="13"/>
      <c r="C17" s="14"/>
      <c r="D17" s="67" t="s">
        <v>26</v>
      </c>
      <c r="E17" s="67"/>
      <c r="F17" s="14"/>
      <c r="G17" s="14"/>
      <c r="H17" s="18" t="s">
        <v>27</v>
      </c>
      <c r="I17" s="14"/>
      <c r="J17" s="18" t="s">
        <v>28</v>
      </c>
      <c r="K17" s="14"/>
      <c r="L17" s="13"/>
    </row>
    <row r="18" spans="2:12" ht="20.100000000000001" customHeight="1" x14ac:dyDescent="0.25">
      <c r="B18" s="13"/>
      <c r="C18" s="14"/>
      <c r="D18" s="60" t="s">
        <v>14</v>
      </c>
      <c r="E18" s="61"/>
      <c r="F18" s="62"/>
      <c r="G18" s="14"/>
      <c r="H18" s="19">
        <v>68</v>
      </c>
      <c r="I18" s="14"/>
      <c r="J18" s="19">
        <v>0</v>
      </c>
      <c r="K18" s="14"/>
      <c r="L18" s="13"/>
    </row>
    <row r="19" spans="2:12" ht="20.100000000000001" customHeight="1" x14ac:dyDescent="0.25">
      <c r="B19" s="13"/>
      <c r="C19" s="14"/>
      <c r="D19" s="60" t="s">
        <v>2</v>
      </c>
      <c r="E19" s="61"/>
      <c r="F19" s="62"/>
      <c r="G19" s="14"/>
      <c r="H19" s="19">
        <v>0</v>
      </c>
      <c r="I19" s="14"/>
      <c r="J19" s="19">
        <v>0</v>
      </c>
      <c r="K19" s="14"/>
      <c r="L19" s="13"/>
    </row>
    <row r="20" spans="2:12" ht="20.100000000000001" customHeight="1" x14ac:dyDescent="0.25">
      <c r="B20" s="13"/>
      <c r="C20" s="14"/>
      <c r="D20" s="60" t="s">
        <v>2</v>
      </c>
      <c r="E20" s="61"/>
      <c r="F20" s="62"/>
      <c r="G20" s="14"/>
      <c r="H20" s="19">
        <v>0</v>
      </c>
      <c r="I20" s="14"/>
      <c r="J20" s="19">
        <v>0</v>
      </c>
      <c r="K20" s="14"/>
      <c r="L20" s="13"/>
    </row>
    <row r="21" spans="2:12" ht="20.100000000000001" customHeight="1" x14ac:dyDescent="0.25">
      <c r="B21" s="13"/>
      <c r="C21" s="14"/>
      <c r="D21" s="60" t="s">
        <v>2</v>
      </c>
      <c r="E21" s="61"/>
      <c r="F21" s="62"/>
      <c r="G21" s="14"/>
      <c r="H21" s="19">
        <v>0</v>
      </c>
      <c r="I21" s="14"/>
      <c r="J21" s="19">
        <v>0</v>
      </c>
      <c r="K21" s="14"/>
      <c r="L21" s="13"/>
    </row>
    <row r="22" spans="2:12" ht="20.100000000000001" customHeight="1" x14ac:dyDescent="0.25">
      <c r="B22" s="13"/>
      <c r="C22" s="14"/>
      <c r="D22" s="60" t="s">
        <v>2</v>
      </c>
      <c r="E22" s="61"/>
      <c r="F22" s="62"/>
      <c r="G22" s="14"/>
      <c r="H22" s="19">
        <v>0</v>
      </c>
      <c r="I22" s="14"/>
      <c r="J22" s="19">
        <v>0</v>
      </c>
      <c r="K22" s="14"/>
      <c r="L22" s="13"/>
    </row>
    <row r="23" spans="2:12" ht="5.0999999999999996" customHeight="1" x14ac:dyDescent="0.25">
      <c r="B23" s="13"/>
      <c r="C23" s="14"/>
      <c r="D23" s="14"/>
      <c r="E23" s="14"/>
      <c r="F23" s="14"/>
      <c r="G23" s="14"/>
      <c r="H23" s="14"/>
      <c r="I23" s="14"/>
      <c r="J23" s="14"/>
      <c r="K23" s="14"/>
      <c r="L23" s="13"/>
    </row>
    <row r="24" spans="2:12" ht="20.100000000000001" customHeight="1" x14ac:dyDescent="0.25">
      <c r="B24" s="13"/>
      <c r="C24" s="14"/>
      <c r="D24" s="63" t="s">
        <v>29</v>
      </c>
      <c r="E24" s="63"/>
      <c r="F24" s="63"/>
      <c r="G24" s="14"/>
      <c r="H24" s="19">
        <v>130</v>
      </c>
      <c r="I24" s="14"/>
      <c r="J24" s="14"/>
      <c r="K24" s="14"/>
      <c r="L24" s="13"/>
    </row>
    <row r="25" spans="2:12" ht="5.0999999999999996" customHeight="1" x14ac:dyDescent="0.25">
      <c r="B25" s="13"/>
      <c r="C25" s="14"/>
      <c r="D25" s="14"/>
      <c r="E25" s="14"/>
      <c r="F25" s="14"/>
      <c r="G25" s="14"/>
      <c r="I25" s="14"/>
      <c r="J25" s="14"/>
      <c r="K25" s="14"/>
      <c r="L25" s="13"/>
    </row>
    <row r="26" spans="2:12" ht="20.100000000000001" customHeight="1" x14ac:dyDescent="0.25">
      <c r="B26" s="13"/>
      <c r="C26" s="14"/>
      <c r="D26" s="63" t="s">
        <v>30</v>
      </c>
      <c r="E26" s="63"/>
      <c r="F26" s="63"/>
      <c r="G26" s="14"/>
      <c r="H26" s="19">
        <v>25</v>
      </c>
      <c r="I26" s="14"/>
      <c r="J26" s="19">
        <v>0</v>
      </c>
      <c r="K26" s="14"/>
      <c r="L26" s="13"/>
    </row>
    <row r="27" spans="2:12" ht="5.0999999999999996" customHeight="1" x14ac:dyDescent="0.25">
      <c r="B27" s="13"/>
      <c r="C27" s="14"/>
      <c r="D27" s="14"/>
      <c r="E27" s="14"/>
      <c r="F27" s="14"/>
      <c r="G27" s="14"/>
      <c r="H27" s="14"/>
      <c r="I27" s="14"/>
      <c r="J27" s="14"/>
      <c r="K27" s="14"/>
      <c r="L27" s="13"/>
    </row>
    <row r="28" spans="2:12" ht="9.9499999999999993" customHeight="1" x14ac:dyDescent="0.25">
      <c r="B28" s="13"/>
      <c r="C28" s="13"/>
      <c r="D28" s="13"/>
      <c r="E28" s="13"/>
      <c r="F28" s="13"/>
      <c r="G28" s="13"/>
      <c r="H28" s="13"/>
      <c r="I28" s="13"/>
      <c r="J28" s="13"/>
      <c r="K28" s="13"/>
      <c r="L28" s="13"/>
    </row>
    <row r="29" spans="2:12" ht="20.100000000000001" customHeight="1" x14ac:dyDescent="0.25"/>
    <row r="30" spans="2:12" ht="20.100000000000001" customHeight="1" x14ac:dyDescent="0.25">
      <c r="B30" s="11"/>
      <c r="C30" s="11"/>
      <c r="D30" s="56" t="s">
        <v>31</v>
      </c>
      <c r="E30" s="56"/>
      <c r="F30" s="12"/>
      <c r="G30" s="12"/>
      <c r="H30" s="12"/>
      <c r="I30" s="12"/>
      <c r="J30" s="12"/>
      <c r="K30" s="11"/>
      <c r="L30" s="11"/>
    </row>
    <row r="31" spans="2:12" ht="5.0999999999999996" customHeight="1" x14ac:dyDescent="0.25">
      <c r="B31" s="13"/>
      <c r="C31" s="14"/>
      <c r="D31" s="14"/>
      <c r="E31" s="14"/>
      <c r="F31" s="14"/>
      <c r="G31" s="14"/>
      <c r="H31" s="14"/>
      <c r="I31" s="14"/>
      <c r="J31" s="14"/>
      <c r="K31" s="14"/>
      <c r="L31" s="13"/>
    </row>
    <row r="32" spans="2:12" ht="20.100000000000001" customHeight="1" x14ac:dyDescent="0.25">
      <c r="B32" s="13"/>
      <c r="C32" s="14"/>
      <c r="D32" s="14"/>
      <c r="E32" s="15" t="s">
        <v>23</v>
      </c>
      <c r="F32" s="16">
        <v>1.25</v>
      </c>
      <c r="G32" s="14"/>
      <c r="H32" s="15"/>
      <c r="I32" s="14"/>
      <c r="J32" s="14"/>
      <c r="K32" s="14"/>
      <c r="L32" s="13"/>
    </row>
    <row r="33" spans="2:12" ht="20.100000000000001" customHeight="1" x14ac:dyDescent="0.25">
      <c r="B33" s="13"/>
      <c r="C33" s="14"/>
      <c r="D33" s="14"/>
      <c r="E33" s="15" t="s">
        <v>24</v>
      </c>
      <c r="F33" s="17">
        <v>175</v>
      </c>
      <c r="G33" s="14"/>
      <c r="H33" s="14"/>
      <c r="I33" s="14"/>
      <c r="J33" s="14"/>
      <c r="K33" s="14"/>
      <c r="L33" s="13"/>
    </row>
    <row r="34" spans="2:12" ht="20.100000000000001" customHeight="1" x14ac:dyDescent="0.25">
      <c r="B34" s="13"/>
      <c r="C34" s="14"/>
      <c r="D34" s="14"/>
      <c r="E34" s="14"/>
      <c r="F34" s="14"/>
      <c r="G34" s="14"/>
      <c r="H34" s="59" t="s">
        <v>25</v>
      </c>
      <c r="I34" s="59"/>
      <c r="J34" s="59"/>
      <c r="K34" s="14"/>
      <c r="L34" s="13"/>
    </row>
    <row r="35" spans="2:12" ht="20.100000000000001" customHeight="1" x14ac:dyDescent="0.25">
      <c r="B35" s="13"/>
      <c r="C35" s="14"/>
      <c r="D35" s="14" t="s">
        <v>26</v>
      </c>
      <c r="E35" s="14"/>
      <c r="F35" s="14"/>
      <c r="G35" s="14"/>
      <c r="H35" s="18" t="s">
        <v>27</v>
      </c>
      <c r="I35" s="14"/>
      <c r="J35" s="18" t="s">
        <v>28</v>
      </c>
      <c r="K35" s="14"/>
      <c r="L35" s="13"/>
    </row>
    <row r="36" spans="2:12" ht="20.100000000000001" customHeight="1" x14ac:dyDescent="0.25">
      <c r="B36" s="13"/>
      <c r="C36" s="14"/>
      <c r="D36" s="60" t="s">
        <v>14</v>
      </c>
      <c r="E36" s="61"/>
      <c r="F36" s="62"/>
      <c r="G36" s="14"/>
      <c r="H36" s="19">
        <v>68</v>
      </c>
      <c r="I36" s="14"/>
      <c r="J36" s="19">
        <v>0</v>
      </c>
      <c r="K36" s="14"/>
      <c r="L36" s="13"/>
    </row>
    <row r="37" spans="2:12" ht="20.100000000000001" customHeight="1" x14ac:dyDescent="0.25">
      <c r="B37" s="13"/>
      <c r="C37" s="14"/>
      <c r="D37" s="60" t="s">
        <v>2</v>
      </c>
      <c r="E37" s="61"/>
      <c r="F37" s="62"/>
      <c r="G37" s="14"/>
      <c r="H37" s="19">
        <v>0</v>
      </c>
      <c r="I37" s="14"/>
      <c r="J37" s="19">
        <v>0</v>
      </c>
      <c r="K37" s="14"/>
      <c r="L37" s="13"/>
    </row>
    <row r="38" spans="2:12" ht="20.100000000000001" customHeight="1" x14ac:dyDescent="0.25">
      <c r="B38" s="13"/>
      <c r="C38" s="14"/>
      <c r="D38" s="60" t="s">
        <v>2</v>
      </c>
      <c r="E38" s="61"/>
      <c r="F38" s="62"/>
      <c r="G38" s="14"/>
      <c r="H38" s="19">
        <v>0</v>
      </c>
      <c r="I38" s="14"/>
      <c r="J38" s="19">
        <v>0</v>
      </c>
      <c r="K38" s="14"/>
      <c r="L38" s="13"/>
    </row>
    <row r="39" spans="2:12" ht="20.100000000000001" customHeight="1" x14ac:dyDescent="0.25">
      <c r="B39" s="13"/>
      <c r="C39" s="14"/>
      <c r="D39" s="60" t="s">
        <v>2</v>
      </c>
      <c r="E39" s="61"/>
      <c r="F39" s="62"/>
      <c r="G39" s="14"/>
      <c r="H39" s="19">
        <v>0</v>
      </c>
      <c r="I39" s="14"/>
      <c r="J39" s="19">
        <v>0</v>
      </c>
      <c r="K39" s="14"/>
      <c r="L39" s="13"/>
    </row>
    <row r="40" spans="2:12" ht="20.100000000000001" customHeight="1" x14ac:dyDescent="0.25">
      <c r="B40" s="13"/>
      <c r="C40" s="14"/>
      <c r="D40" s="60" t="s">
        <v>2</v>
      </c>
      <c r="E40" s="61"/>
      <c r="F40" s="62"/>
      <c r="G40" s="14"/>
      <c r="H40" s="19">
        <v>0</v>
      </c>
      <c r="I40" s="14"/>
      <c r="J40" s="19">
        <v>0</v>
      </c>
      <c r="K40" s="14"/>
      <c r="L40" s="13"/>
    </row>
    <row r="41" spans="2:12" ht="5.0999999999999996" customHeight="1" x14ac:dyDescent="0.25">
      <c r="B41" s="13"/>
      <c r="C41" s="14"/>
      <c r="D41" s="14"/>
      <c r="E41" s="14"/>
      <c r="F41" s="14"/>
      <c r="G41" s="14"/>
      <c r="H41" s="14"/>
      <c r="I41" s="14"/>
      <c r="J41" s="14"/>
      <c r="K41" s="14"/>
      <c r="L41" s="13"/>
    </row>
    <row r="42" spans="2:12" ht="20.100000000000001" customHeight="1" x14ac:dyDescent="0.25">
      <c r="B42" s="13"/>
      <c r="C42" s="14"/>
      <c r="D42" s="14" t="s">
        <v>29</v>
      </c>
      <c r="E42" s="14"/>
      <c r="F42" s="14"/>
      <c r="G42" s="14"/>
      <c r="H42" s="19">
        <v>130</v>
      </c>
      <c r="I42" s="14"/>
      <c r="J42" s="14"/>
      <c r="K42" s="14"/>
      <c r="L42" s="13"/>
    </row>
    <row r="43" spans="2:12" ht="5.0999999999999996" customHeight="1" x14ac:dyDescent="0.25">
      <c r="B43" s="13"/>
      <c r="C43" s="14"/>
      <c r="D43" s="14"/>
      <c r="E43" s="14"/>
      <c r="F43" s="14"/>
      <c r="G43" s="14"/>
      <c r="I43" s="14"/>
      <c r="J43" s="14"/>
      <c r="K43" s="14"/>
      <c r="L43" s="13"/>
    </row>
    <row r="44" spans="2:12" ht="20.100000000000001" customHeight="1" x14ac:dyDescent="0.25">
      <c r="B44" s="13"/>
      <c r="C44" s="14"/>
      <c r="D44" s="14" t="s">
        <v>30</v>
      </c>
      <c r="E44" s="14"/>
      <c r="F44" s="14"/>
      <c r="G44" s="14"/>
      <c r="H44" s="19">
        <v>25</v>
      </c>
      <c r="I44" s="14"/>
      <c r="J44" s="19">
        <v>0</v>
      </c>
      <c r="K44" s="14"/>
      <c r="L44" s="13"/>
    </row>
    <row r="45" spans="2:12" ht="5.0999999999999996" customHeight="1" x14ac:dyDescent="0.25">
      <c r="B45" s="13"/>
      <c r="C45" s="14"/>
      <c r="D45" s="14"/>
      <c r="E45" s="14"/>
      <c r="F45" s="14"/>
      <c r="G45" s="14"/>
      <c r="H45" s="14"/>
      <c r="I45" s="14"/>
      <c r="J45" s="14"/>
      <c r="K45" s="14"/>
      <c r="L45" s="13"/>
    </row>
    <row r="46" spans="2:12" ht="9.9499999999999993" customHeight="1" x14ac:dyDescent="0.25">
      <c r="B46" s="13"/>
      <c r="C46" s="13"/>
      <c r="D46" s="13"/>
      <c r="E46" s="13"/>
      <c r="F46" s="13"/>
      <c r="G46" s="13"/>
      <c r="H46" s="13"/>
      <c r="I46" s="13"/>
      <c r="J46" s="13"/>
      <c r="K46" s="13"/>
      <c r="L46" s="13"/>
    </row>
    <row r="47" spans="2:12" ht="20.100000000000001" customHeight="1" x14ac:dyDescent="0.25"/>
    <row r="48" spans="2:12" ht="20.100000000000001" customHeight="1" x14ac:dyDescent="0.25">
      <c r="B48" s="11"/>
      <c r="C48" s="11"/>
      <c r="D48" s="56" t="s">
        <v>32</v>
      </c>
      <c r="E48" s="56"/>
      <c r="F48" s="12"/>
      <c r="G48" s="12"/>
      <c r="H48" s="12"/>
      <c r="I48" s="12"/>
      <c r="J48" s="12"/>
      <c r="K48" s="11"/>
      <c r="L48" s="11"/>
    </row>
    <row r="49" spans="2:12" ht="5.0999999999999996" customHeight="1" x14ac:dyDescent="0.25">
      <c r="B49" s="13"/>
      <c r="C49" s="14"/>
      <c r="D49" s="14"/>
      <c r="E49" s="14"/>
      <c r="F49" s="14"/>
      <c r="G49" s="14"/>
      <c r="H49" s="14"/>
      <c r="I49" s="14"/>
      <c r="J49" s="14"/>
      <c r="K49" s="14"/>
      <c r="L49" s="13"/>
    </row>
    <row r="50" spans="2:12" ht="20.100000000000001" customHeight="1" x14ac:dyDescent="0.25">
      <c r="B50" s="13"/>
      <c r="C50" s="14"/>
      <c r="D50" s="14"/>
      <c r="E50" s="15" t="s">
        <v>23</v>
      </c>
      <c r="F50" s="16">
        <v>0</v>
      </c>
      <c r="G50" s="14"/>
      <c r="H50" s="15"/>
      <c r="I50" s="14"/>
      <c r="J50" s="14"/>
      <c r="K50" s="14"/>
      <c r="L50" s="13"/>
    </row>
    <row r="51" spans="2:12" ht="20.100000000000001" customHeight="1" x14ac:dyDescent="0.25">
      <c r="B51" s="13"/>
      <c r="C51" s="14"/>
      <c r="D51" s="14"/>
      <c r="E51" s="15" t="s">
        <v>24</v>
      </c>
      <c r="F51" s="17">
        <v>0</v>
      </c>
      <c r="G51" s="14"/>
      <c r="H51" s="14"/>
      <c r="I51" s="14"/>
      <c r="J51" s="14"/>
      <c r="K51" s="14"/>
      <c r="L51" s="13"/>
    </row>
    <row r="52" spans="2:12" ht="20.100000000000001" customHeight="1" x14ac:dyDescent="0.25">
      <c r="B52" s="13"/>
      <c r="C52" s="14"/>
      <c r="D52" s="14"/>
      <c r="E52" s="14"/>
      <c r="F52" s="14"/>
      <c r="G52" s="14"/>
      <c r="H52" s="59" t="s">
        <v>25</v>
      </c>
      <c r="I52" s="59"/>
      <c r="J52" s="59"/>
      <c r="K52" s="14"/>
      <c r="L52" s="13"/>
    </row>
    <row r="53" spans="2:12" ht="20.100000000000001" customHeight="1" x14ac:dyDescent="0.25">
      <c r="B53" s="13"/>
      <c r="C53" s="14"/>
      <c r="D53" s="14" t="s">
        <v>26</v>
      </c>
      <c r="E53" s="14"/>
      <c r="F53" s="14"/>
      <c r="G53" s="14"/>
      <c r="H53" s="18" t="s">
        <v>27</v>
      </c>
      <c r="I53" s="14"/>
      <c r="J53" s="18" t="s">
        <v>28</v>
      </c>
      <c r="K53" s="14"/>
      <c r="L53" s="13"/>
    </row>
    <row r="54" spans="2:12" ht="20.100000000000001" customHeight="1" x14ac:dyDescent="0.25">
      <c r="B54" s="13"/>
      <c r="C54" s="14"/>
      <c r="D54" s="60" t="s">
        <v>2</v>
      </c>
      <c r="E54" s="61"/>
      <c r="F54" s="62"/>
      <c r="G54" s="14"/>
      <c r="H54" s="19">
        <v>0</v>
      </c>
      <c r="I54" s="14"/>
      <c r="J54" s="19">
        <v>0</v>
      </c>
      <c r="K54" s="14"/>
      <c r="L54" s="13"/>
    </row>
    <row r="55" spans="2:12" ht="20.100000000000001" customHeight="1" x14ac:dyDescent="0.25">
      <c r="B55" s="13"/>
      <c r="C55" s="14"/>
      <c r="D55" s="60" t="s">
        <v>2</v>
      </c>
      <c r="E55" s="61"/>
      <c r="F55" s="62"/>
      <c r="G55" s="14"/>
      <c r="H55" s="19">
        <v>0</v>
      </c>
      <c r="I55" s="14"/>
      <c r="J55" s="19">
        <v>0</v>
      </c>
      <c r="K55" s="14"/>
      <c r="L55" s="13"/>
    </row>
    <row r="56" spans="2:12" ht="20.100000000000001" customHeight="1" x14ac:dyDescent="0.25">
      <c r="B56" s="13"/>
      <c r="C56" s="14"/>
      <c r="D56" s="60" t="s">
        <v>2</v>
      </c>
      <c r="E56" s="61"/>
      <c r="F56" s="62"/>
      <c r="G56" s="14"/>
      <c r="H56" s="19">
        <v>0</v>
      </c>
      <c r="I56" s="14"/>
      <c r="J56" s="19">
        <v>0</v>
      </c>
      <c r="K56" s="14"/>
      <c r="L56" s="13"/>
    </row>
    <row r="57" spans="2:12" ht="20.100000000000001" customHeight="1" x14ac:dyDescent="0.25">
      <c r="B57" s="13"/>
      <c r="C57" s="14"/>
      <c r="D57" s="60" t="s">
        <v>2</v>
      </c>
      <c r="E57" s="61"/>
      <c r="F57" s="62"/>
      <c r="G57" s="14"/>
      <c r="H57" s="19">
        <v>0</v>
      </c>
      <c r="I57" s="14"/>
      <c r="J57" s="19">
        <v>0</v>
      </c>
      <c r="K57" s="14"/>
      <c r="L57" s="13"/>
    </row>
    <row r="58" spans="2:12" ht="20.100000000000001" customHeight="1" x14ac:dyDescent="0.25">
      <c r="B58" s="13"/>
      <c r="C58" s="14"/>
      <c r="D58" s="60" t="s">
        <v>2</v>
      </c>
      <c r="E58" s="61"/>
      <c r="F58" s="62"/>
      <c r="G58" s="14"/>
      <c r="H58" s="19">
        <v>0</v>
      </c>
      <c r="I58" s="14"/>
      <c r="J58" s="19">
        <v>0</v>
      </c>
      <c r="K58" s="14"/>
      <c r="L58" s="13"/>
    </row>
    <row r="59" spans="2:12" ht="5.0999999999999996" customHeight="1" x14ac:dyDescent="0.25">
      <c r="B59" s="13"/>
      <c r="C59" s="14"/>
      <c r="D59" s="14"/>
      <c r="E59" s="14"/>
      <c r="F59" s="14"/>
      <c r="G59" s="14"/>
      <c r="H59" s="14"/>
      <c r="I59" s="14"/>
      <c r="J59" s="14"/>
      <c r="K59" s="14"/>
      <c r="L59" s="13"/>
    </row>
    <row r="60" spans="2:12" ht="20.100000000000001" customHeight="1" x14ac:dyDescent="0.25">
      <c r="B60" s="13"/>
      <c r="C60" s="14"/>
      <c r="D60" s="14" t="s">
        <v>29</v>
      </c>
      <c r="E60" s="14"/>
      <c r="F60" s="14"/>
      <c r="G60" s="14"/>
      <c r="H60" s="19">
        <v>0</v>
      </c>
      <c r="I60" s="14"/>
      <c r="J60" s="14"/>
      <c r="K60" s="14"/>
      <c r="L60" s="13"/>
    </row>
    <row r="61" spans="2:12" ht="5.0999999999999996" customHeight="1" x14ac:dyDescent="0.25">
      <c r="B61" s="13"/>
      <c r="C61" s="14"/>
      <c r="D61" s="14"/>
      <c r="E61" s="14"/>
      <c r="F61" s="14"/>
      <c r="G61" s="14"/>
      <c r="I61" s="14"/>
      <c r="J61" s="14"/>
      <c r="K61" s="14"/>
      <c r="L61" s="13"/>
    </row>
    <row r="62" spans="2:12" ht="20.100000000000001" customHeight="1" x14ac:dyDescent="0.25">
      <c r="B62" s="13"/>
      <c r="C62" s="14"/>
      <c r="D62" s="14" t="s">
        <v>30</v>
      </c>
      <c r="E62" s="14"/>
      <c r="F62" s="14"/>
      <c r="G62" s="14"/>
      <c r="H62" s="19">
        <v>0</v>
      </c>
      <c r="I62" s="14"/>
      <c r="J62" s="19">
        <v>0</v>
      </c>
      <c r="K62" s="14"/>
      <c r="L62" s="13"/>
    </row>
    <row r="63" spans="2:12" ht="5.0999999999999996" customHeight="1" x14ac:dyDescent="0.25">
      <c r="B63" s="13"/>
      <c r="C63" s="14"/>
      <c r="D63" s="14"/>
      <c r="E63" s="14"/>
      <c r="F63" s="14"/>
      <c r="G63" s="14"/>
      <c r="H63" s="14"/>
      <c r="I63" s="14"/>
      <c r="J63" s="14"/>
      <c r="K63" s="14"/>
      <c r="L63" s="13"/>
    </row>
    <row r="64" spans="2:12" ht="9.9499999999999993" customHeight="1" x14ac:dyDescent="0.25">
      <c r="B64" s="13"/>
      <c r="C64" s="13"/>
      <c r="D64" s="13"/>
      <c r="E64" s="13"/>
      <c r="F64" s="13"/>
      <c r="G64" s="13"/>
      <c r="H64" s="13"/>
      <c r="I64" s="13"/>
      <c r="J64" s="13"/>
      <c r="K64" s="13"/>
      <c r="L64" s="13"/>
    </row>
    <row r="65" spans="2:12" ht="20.100000000000001" customHeight="1" x14ac:dyDescent="0.25"/>
    <row r="66" spans="2:12" ht="20.100000000000001" customHeight="1" x14ac:dyDescent="0.25">
      <c r="B66" s="11"/>
      <c r="C66" s="11"/>
      <c r="D66" s="56" t="s">
        <v>33</v>
      </c>
      <c r="E66" s="56"/>
      <c r="F66" s="12"/>
      <c r="G66" s="12"/>
      <c r="H66" s="12"/>
      <c r="I66" s="12"/>
      <c r="J66" s="12"/>
      <c r="K66" s="11"/>
      <c r="L66" s="11"/>
    </row>
    <row r="67" spans="2:12" ht="5.0999999999999996" customHeight="1" x14ac:dyDescent="0.25">
      <c r="B67" s="13"/>
      <c r="C67" s="14"/>
      <c r="D67" s="14"/>
      <c r="E67" s="14"/>
      <c r="F67" s="14"/>
      <c r="G67" s="14"/>
      <c r="H67" s="14"/>
      <c r="I67" s="14"/>
      <c r="J67" s="14"/>
      <c r="K67" s="14"/>
      <c r="L67" s="13"/>
    </row>
    <row r="68" spans="2:12" ht="20.100000000000001" customHeight="1" x14ac:dyDescent="0.25">
      <c r="B68" s="13"/>
      <c r="C68" s="14"/>
      <c r="D68" s="14"/>
      <c r="E68" s="15" t="s">
        <v>23</v>
      </c>
      <c r="F68" s="16">
        <v>0</v>
      </c>
      <c r="G68" s="14"/>
      <c r="H68" s="15"/>
      <c r="I68" s="14"/>
      <c r="J68" s="14"/>
      <c r="K68" s="14"/>
      <c r="L68" s="13"/>
    </row>
    <row r="69" spans="2:12" ht="20.100000000000001" customHeight="1" x14ac:dyDescent="0.25">
      <c r="B69" s="13"/>
      <c r="C69" s="14"/>
      <c r="D69" s="14"/>
      <c r="E69" s="15" t="s">
        <v>24</v>
      </c>
      <c r="F69" s="17">
        <v>0</v>
      </c>
      <c r="G69" s="14"/>
      <c r="H69" s="14"/>
      <c r="I69" s="14"/>
      <c r="J69" s="14"/>
      <c r="K69" s="14"/>
      <c r="L69" s="13"/>
    </row>
    <row r="70" spans="2:12" ht="20.100000000000001" customHeight="1" x14ac:dyDescent="0.25">
      <c r="B70" s="13"/>
      <c r="C70" s="14"/>
      <c r="D70" s="14"/>
      <c r="E70" s="14"/>
      <c r="F70" s="14"/>
      <c r="G70" s="14"/>
      <c r="H70" s="59" t="s">
        <v>25</v>
      </c>
      <c r="I70" s="59"/>
      <c r="J70" s="59"/>
      <c r="K70" s="14"/>
      <c r="L70" s="13"/>
    </row>
    <row r="71" spans="2:12" ht="20.100000000000001" customHeight="1" x14ac:dyDescent="0.25">
      <c r="B71" s="13"/>
      <c r="C71" s="14"/>
      <c r="D71" s="14" t="s">
        <v>26</v>
      </c>
      <c r="E71" s="14"/>
      <c r="F71" s="14"/>
      <c r="G71" s="14"/>
      <c r="H71" s="18" t="s">
        <v>27</v>
      </c>
      <c r="I71" s="14"/>
      <c r="J71" s="18" t="s">
        <v>28</v>
      </c>
      <c r="K71" s="14"/>
      <c r="L71" s="13"/>
    </row>
    <row r="72" spans="2:12" ht="20.100000000000001" customHeight="1" x14ac:dyDescent="0.25">
      <c r="B72" s="13"/>
      <c r="C72" s="14"/>
      <c r="D72" s="60" t="s">
        <v>2</v>
      </c>
      <c r="E72" s="61"/>
      <c r="F72" s="62"/>
      <c r="G72" s="14"/>
      <c r="H72" s="19">
        <v>0</v>
      </c>
      <c r="I72" s="14"/>
      <c r="J72" s="19">
        <v>0</v>
      </c>
      <c r="K72" s="14"/>
      <c r="L72" s="13"/>
    </row>
    <row r="73" spans="2:12" ht="20.100000000000001" customHeight="1" x14ac:dyDescent="0.25">
      <c r="B73" s="13"/>
      <c r="C73" s="14"/>
      <c r="D73" s="60" t="s">
        <v>2</v>
      </c>
      <c r="E73" s="61"/>
      <c r="F73" s="62"/>
      <c r="G73" s="14"/>
      <c r="H73" s="19">
        <v>0</v>
      </c>
      <c r="I73" s="14"/>
      <c r="J73" s="19">
        <v>0</v>
      </c>
      <c r="K73" s="14"/>
      <c r="L73" s="13"/>
    </row>
    <row r="74" spans="2:12" ht="20.100000000000001" customHeight="1" x14ac:dyDescent="0.25">
      <c r="B74" s="13"/>
      <c r="C74" s="14"/>
      <c r="D74" s="60" t="s">
        <v>2</v>
      </c>
      <c r="E74" s="61"/>
      <c r="F74" s="62"/>
      <c r="G74" s="14"/>
      <c r="H74" s="19">
        <v>0</v>
      </c>
      <c r="I74" s="14"/>
      <c r="J74" s="19">
        <v>0</v>
      </c>
      <c r="K74" s="14"/>
      <c r="L74" s="13"/>
    </row>
    <row r="75" spans="2:12" ht="20.100000000000001" customHeight="1" x14ac:dyDescent="0.25">
      <c r="B75" s="13"/>
      <c r="C75" s="14"/>
      <c r="D75" s="60" t="s">
        <v>2</v>
      </c>
      <c r="E75" s="61"/>
      <c r="F75" s="62"/>
      <c r="G75" s="14"/>
      <c r="H75" s="19">
        <v>0</v>
      </c>
      <c r="I75" s="14"/>
      <c r="J75" s="19">
        <v>0</v>
      </c>
      <c r="K75" s="14"/>
      <c r="L75" s="13"/>
    </row>
    <row r="76" spans="2:12" ht="20.100000000000001" customHeight="1" x14ac:dyDescent="0.25">
      <c r="B76" s="13"/>
      <c r="C76" s="14"/>
      <c r="D76" s="60" t="s">
        <v>2</v>
      </c>
      <c r="E76" s="61"/>
      <c r="F76" s="62"/>
      <c r="G76" s="14"/>
      <c r="H76" s="19">
        <v>0</v>
      </c>
      <c r="I76" s="14"/>
      <c r="J76" s="19">
        <v>0</v>
      </c>
      <c r="K76" s="14"/>
      <c r="L76" s="13"/>
    </row>
    <row r="77" spans="2:12" ht="5.0999999999999996" customHeight="1" x14ac:dyDescent="0.25">
      <c r="B77" s="13"/>
      <c r="C77" s="14"/>
      <c r="D77" s="14"/>
      <c r="E77" s="14"/>
      <c r="F77" s="14"/>
      <c r="G77" s="14"/>
      <c r="H77" s="14"/>
      <c r="I77" s="14"/>
      <c r="J77" s="14"/>
      <c r="K77" s="14"/>
      <c r="L77" s="13"/>
    </row>
    <row r="78" spans="2:12" ht="20.100000000000001" customHeight="1" x14ac:dyDescent="0.25">
      <c r="B78" s="13"/>
      <c r="C78" s="14"/>
      <c r="D78" s="14" t="s">
        <v>29</v>
      </c>
      <c r="E78" s="14"/>
      <c r="F78" s="14"/>
      <c r="G78" s="14"/>
      <c r="H78" s="19">
        <v>0</v>
      </c>
      <c r="I78" s="14"/>
      <c r="J78" s="14"/>
      <c r="K78" s="14"/>
      <c r="L78" s="13"/>
    </row>
    <row r="79" spans="2:12" ht="5.0999999999999996" customHeight="1" x14ac:dyDescent="0.25">
      <c r="B79" s="13"/>
      <c r="C79" s="14"/>
      <c r="D79" s="14"/>
      <c r="E79" s="14"/>
      <c r="F79" s="14"/>
      <c r="G79" s="14"/>
      <c r="I79" s="14"/>
      <c r="J79" s="14"/>
      <c r="K79" s="14"/>
      <c r="L79" s="13"/>
    </row>
    <row r="80" spans="2:12" ht="20.100000000000001" customHeight="1" x14ac:dyDescent="0.25">
      <c r="B80" s="13"/>
      <c r="C80" s="14"/>
      <c r="D80" s="14" t="s">
        <v>30</v>
      </c>
      <c r="E80" s="14"/>
      <c r="F80" s="14"/>
      <c r="G80" s="14"/>
      <c r="H80" s="19">
        <v>0</v>
      </c>
      <c r="I80" s="14"/>
      <c r="J80" s="19">
        <v>0</v>
      </c>
      <c r="K80" s="14"/>
      <c r="L80" s="13"/>
    </row>
    <row r="81" spans="2:12" ht="5.0999999999999996" customHeight="1" x14ac:dyDescent="0.25">
      <c r="B81" s="13"/>
      <c r="C81" s="14"/>
      <c r="D81" s="14"/>
      <c r="E81" s="14"/>
      <c r="F81" s="14"/>
      <c r="G81" s="14"/>
      <c r="H81" s="14"/>
      <c r="I81" s="14"/>
      <c r="J81" s="14"/>
      <c r="K81" s="14"/>
      <c r="L81" s="13"/>
    </row>
    <row r="82" spans="2:12" ht="9.9499999999999993" customHeight="1" x14ac:dyDescent="0.25">
      <c r="B82" s="13"/>
      <c r="C82" s="13"/>
      <c r="D82" s="13"/>
      <c r="E82" s="13"/>
      <c r="F82" s="13"/>
      <c r="G82" s="13"/>
      <c r="H82" s="13"/>
      <c r="I82" s="13"/>
      <c r="J82" s="13"/>
      <c r="K82" s="13"/>
      <c r="L82" s="13"/>
    </row>
  </sheetData>
  <sheetProtection algorithmName="SHA-512" hashValue="M86OGs06qPLi4dSzgTaMDqAX+lIFU1XhWbt6yiQcct/OyT2mj7naSMtxJIHmWtgby/uEBD6IYfPGX4MK/R6x7g==" saltValue="FkCDxtgFQR/IA2L64ogs/Q==" spinCount="100000" sheet="1" objects="1" scenarios="1"/>
  <mergeCells count="38">
    <mergeCell ref="D10:F10"/>
    <mergeCell ref="D14:E14"/>
    <mergeCell ref="D15:E15"/>
    <mergeCell ref="D17:E17"/>
    <mergeCell ref="D24:F24"/>
    <mergeCell ref="D19:F19"/>
    <mergeCell ref="D20:F20"/>
    <mergeCell ref="D21:F21"/>
    <mergeCell ref="D22:F22"/>
    <mergeCell ref="D76:F76"/>
    <mergeCell ref="D58:F58"/>
    <mergeCell ref="D26:F26"/>
    <mergeCell ref="H52:J52"/>
    <mergeCell ref="D54:F54"/>
    <mergeCell ref="D55:F55"/>
    <mergeCell ref="D56:F56"/>
    <mergeCell ref="D57:F57"/>
    <mergeCell ref="H70:J70"/>
    <mergeCell ref="D72:F72"/>
    <mergeCell ref="D73:F73"/>
    <mergeCell ref="D74:F74"/>
    <mergeCell ref="D75:F75"/>
    <mergeCell ref="B3:L3"/>
    <mergeCell ref="D66:E66"/>
    <mergeCell ref="D48:E48"/>
    <mergeCell ref="D30:E30"/>
    <mergeCell ref="D12:E12"/>
    <mergeCell ref="B4:L4"/>
    <mergeCell ref="B5:L5"/>
    <mergeCell ref="B6:L6"/>
    <mergeCell ref="H34:J34"/>
    <mergeCell ref="D36:F36"/>
    <mergeCell ref="D37:F37"/>
    <mergeCell ref="D38:F38"/>
    <mergeCell ref="D39:F39"/>
    <mergeCell ref="D40:F40"/>
    <mergeCell ref="H16:J16"/>
    <mergeCell ref="D18:F18"/>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D8243A0-1A20-4BAA-BCC8-48EC5883BEDF}">
          <x14:formula1>
            <xm:f>Data!$B$2:$B$6</xm:f>
          </x14:formula1>
          <xm:sqref>H8</xm:sqref>
        </x14:dataValidation>
        <x14:dataValidation type="list" allowBlank="1" showInputMessage="1" showErrorMessage="1" xr:uid="{40846F0C-EDD2-4CA3-9248-94AE018043FF}">
          <x14:formula1>
            <xm:f>Data!$D$2:$D$11</xm:f>
          </x14:formula1>
          <xm:sqref>D18:F22 D72:F76 D54:F58 D36:F40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ADD4-84E0-46E7-AA89-78F4F2A75607}">
  <dimension ref="B2:N31"/>
  <sheetViews>
    <sheetView showGridLines="0" workbookViewId="0"/>
  </sheetViews>
  <sheetFormatPr defaultRowHeight="15" x14ac:dyDescent="0.25"/>
  <cols>
    <col min="1" max="1" width="4.7109375" style="2" customWidth="1"/>
    <col min="2" max="2" width="1.7109375" style="2" customWidth="1"/>
    <col min="3" max="13" width="9.7109375" style="2" customWidth="1"/>
    <col min="14" max="14" width="1.7109375" style="2" customWidth="1"/>
    <col min="15" max="16384" width="9.140625" style="2"/>
  </cols>
  <sheetData>
    <row r="2" spans="2:14" x14ac:dyDescent="0.25">
      <c r="B2" s="46"/>
      <c r="C2" s="46"/>
      <c r="D2" s="46"/>
      <c r="E2" s="46"/>
      <c r="F2" s="46"/>
      <c r="G2" s="46"/>
      <c r="H2" s="46"/>
      <c r="I2" s="46"/>
      <c r="J2" s="46"/>
      <c r="K2" s="46"/>
      <c r="L2" s="46"/>
      <c r="M2" s="46"/>
      <c r="N2" s="46"/>
    </row>
    <row r="3" spans="2:14" ht="24.95" customHeight="1" x14ac:dyDescent="0.25">
      <c r="B3" s="46"/>
      <c r="C3" s="49" t="s">
        <v>66</v>
      </c>
      <c r="D3" s="14"/>
      <c r="E3" s="14"/>
      <c r="F3" s="14"/>
      <c r="G3" s="39">
        <f>Data!M4</f>
        <v>130</v>
      </c>
      <c r="H3" s="14"/>
      <c r="I3" s="14" t="s">
        <v>63</v>
      </c>
      <c r="J3" s="14"/>
      <c r="K3" s="14"/>
      <c r="L3" s="14"/>
      <c r="M3" s="40">
        <f>Data!M5</f>
        <v>3.75</v>
      </c>
      <c r="N3" s="46"/>
    </row>
    <row r="4" spans="2:14" ht="24.95" customHeight="1" x14ac:dyDescent="0.25">
      <c r="B4" s="46"/>
      <c r="C4" s="49" t="s">
        <v>65</v>
      </c>
      <c r="D4" s="14"/>
      <c r="E4" s="14"/>
      <c r="F4" s="14"/>
      <c r="G4" s="39">
        <f>Data!M9</f>
        <v>325</v>
      </c>
      <c r="H4" s="14"/>
      <c r="I4" s="14" t="s">
        <v>64</v>
      </c>
      <c r="J4" s="14"/>
      <c r="K4" s="14"/>
      <c r="L4" s="14"/>
      <c r="M4" s="39">
        <f>Data!M6</f>
        <v>487.5</v>
      </c>
      <c r="N4" s="46"/>
    </row>
    <row r="5" spans="2:14" ht="9.9499999999999993" customHeight="1" x14ac:dyDescent="0.25">
      <c r="B5" s="46"/>
      <c r="C5" s="46"/>
      <c r="D5" s="46"/>
      <c r="E5" s="46"/>
      <c r="F5" s="46"/>
      <c r="G5" s="46"/>
      <c r="H5" s="46"/>
      <c r="I5" s="46"/>
      <c r="J5" s="46"/>
      <c r="K5" s="46"/>
      <c r="L5" s="46"/>
      <c r="M5" s="46"/>
      <c r="N5" s="46"/>
    </row>
    <row r="6" spans="2:14" x14ac:dyDescent="0.25">
      <c r="H6" s="32"/>
    </row>
    <row r="7" spans="2:14" ht="20.100000000000001" customHeight="1" x14ac:dyDescent="0.25">
      <c r="B7" s="46"/>
      <c r="C7" s="46"/>
      <c r="D7" s="46"/>
      <c r="E7" s="46"/>
      <c r="F7" s="46"/>
      <c r="G7" s="46"/>
      <c r="H7" s="47"/>
      <c r="I7" s="46"/>
      <c r="J7" s="46"/>
      <c r="K7" s="46"/>
      <c r="L7" s="46"/>
      <c r="M7" s="46"/>
      <c r="N7" s="46"/>
    </row>
    <row r="8" spans="2:14" ht="20.100000000000001" customHeight="1" x14ac:dyDescent="0.25">
      <c r="B8" s="46"/>
      <c r="C8" s="48"/>
      <c r="D8" s="48"/>
      <c r="E8" s="48"/>
      <c r="F8" s="48"/>
      <c r="G8" s="48"/>
      <c r="H8" s="74" t="s">
        <v>67</v>
      </c>
      <c r="I8" s="74"/>
      <c r="J8" s="76" t="s">
        <v>68</v>
      </c>
      <c r="K8" s="76"/>
      <c r="L8" s="74" t="s">
        <v>69</v>
      </c>
      <c r="M8" s="74"/>
      <c r="N8" s="46"/>
    </row>
    <row r="9" spans="2:14" ht="24.95" customHeight="1" x14ac:dyDescent="0.25">
      <c r="B9" s="46"/>
      <c r="C9" s="78" t="s">
        <v>70</v>
      </c>
      <c r="D9" s="78"/>
      <c r="E9" s="78"/>
      <c r="F9" s="78"/>
      <c r="G9" s="78"/>
      <c r="H9" s="75">
        <f>Data!M10</f>
        <v>158437.5</v>
      </c>
      <c r="I9" s="75"/>
      <c r="J9" s="75">
        <f>Data!M11</f>
        <v>1218.75</v>
      </c>
      <c r="K9" s="75"/>
      <c r="L9" s="75">
        <f>Data!M12</f>
        <v>325</v>
      </c>
      <c r="M9" s="75"/>
      <c r="N9" s="46"/>
    </row>
    <row r="10" spans="2:14" ht="24.95" customHeight="1" x14ac:dyDescent="0.25">
      <c r="B10" s="46"/>
      <c r="C10" s="79" t="s">
        <v>77</v>
      </c>
      <c r="D10" s="79"/>
      <c r="E10" s="79"/>
      <c r="F10" s="79"/>
      <c r="G10" s="79"/>
      <c r="H10" s="75">
        <f>H9*Input!$H$10</f>
        <v>0</v>
      </c>
      <c r="I10" s="75"/>
      <c r="J10" s="75">
        <f>J9*Input!$H$10</f>
        <v>0</v>
      </c>
      <c r="K10" s="75"/>
      <c r="L10" s="75">
        <f>L9*Input!$H$10</f>
        <v>0</v>
      </c>
      <c r="M10" s="75"/>
      <c r="N10" s="46"/>
    </row>
    <row r="11" spans="2:14" ht="24.95" customHeight="1" x14ac:dyDescent="0.25">
      <c r="B11" s="46"/>
      <c r="C11" s="79" t="s">
        <v>71</v>
      </c>
      <c r="D11" s="79"/>
      <c r="E11" s="79"/>
      <c r="F11" s="79"/>
      <c r="G11" s="79"/>
      <c r="H11" s="75">
        <f>Data!M15</f>
        <v>158437.5</v>
      </c>
      <c r="I11" s="75"/>
      <c r="J11" s="75">
        <f>Data!M16</f>
        <v>1218.75</v>
      </c>
      <c r="K11" s="75"/>
      <c r="L11" s="75">
        <f>Data!M17</f>
        <v>325</v>
      </c>
      <c r="M11" s="75"/>
      <c r="N11" s="46"/>
    </row>
    <row r="12" spans="2:14" ht="24.95" customHeight="1" x14ac:dyDescent="0.25">
      <c r="B12" s="46"/>
      <c r="C12" s="49" t="s">
        <v>72</v>
      </c>
      <c r="D12" s="14"/>
      <c r="E12" s="14"/>
      <c r="F12" s="14"/>
      <c r="G12" s="14"/>
      <c r="H12" s="75">
        <f>Data!M27</f>
        <v>57980</v>
      </c>
      <c r="I12" s="75"/>
      <c r="J12" s="75">
        <f>Data!M28</f>
        <v>446</v>
      </c>
      <c r="K12" s="75"/>
      <c r="L12" s="75">
        <f>Data!M29</f>
        <v>118.93333333333334</v>
      </c>
      <c r="M12" s="75"/>
      <c r="N12" s="46"/>
    </row>
    <row r="13" spans="2:14" ht="24.95" customHeight="1" x14ac:dyDescent="0.25">
      <c r="B13" s="46"/>
      <c r="C13" s="80" t="s">
        <v>81</v>
      </c>
      <c r="D13" s="80"/>
      <c r="E13" s="80"/>
      <c r="F13" s="80"/>
      <c r="G13" s="80"/>
      <c r="H13" s="77">
        <f>H11-H12</f>
        <v>100457.5</v>
      </c>
      <c r="I13" s="77"/>
      <c r="J13" s="77">
        <f>J11-J12</f>
        <v>772.75</v>
      </c>
      <c r="K13" s="77"/>
      <c r="L13" s="77">
        <f>L11-L12</f>
        <v>206.06666666666666</v>
      </c>
      <c r="M13" s="77"/>
      <c r="N13" s="46"/>
    </row>
    <row r="14" spans="2:14" ht="9.9499999999999993" customHeight="1" x14ac:dyDescent="0.25">
      <c r="B14" s="46"/>
      <c r="C14" s="46"/>
      <c r="D14" s="46"/>
      <c r="E14" s="46"/>
      <c r="F14" s="46"/>
      <c r="G14" s="46"/>
      <c r="H14" s="46"/>
      <c r="I14" s="46"/>
      <c r="J14" s="46"/>
      <c r="K14" s="46"/>
      <c r="L14" s="46"/>
      <c r="M14" s="46"/>
      <c r="N14" s="46"/>
    </row>
    <row r="16" spans="2:14" ht="15.75" x14ac:dyDescent="0.25">
      <c r="B16" s="71" t="s">
        <v>62</v>
      </c>
      <c r="C16" s="71"/>
      <c r="D16" s="71"/>
      <c r="E16" s="71"/>
      <c r="F16" s="71"/>
      <c r="G16" s="71"/>
      <c r="H16" s="71"/>
      <c r="I16" s="71"/>
      <c r="J16" s="71"/>
      <c r="K16" s="71"/>
      <c r="L16" s="71"/>
      <c r="M16" s="71"/>
      <c r="N16" s="43"/>
    </row>
    <row r="17" spans="2:14" x14ac:dyDescent="0.25">
      <c r="B17" s="43"/>
      <c r="I17" s="4" t="s">
        <v>58</v>
      </c>
      <c r="N17" s="43"/>
    </row>
    <row r="18" spans="2:14" x14ac:dyDescent="0.25">
      <c r="B18" s="43"/>
      <c r="I18" s="4" t="s">
        <v>59</v>
      </c>
      <c r="N18" s="43"/>
    </row>
    <row r="19" spans="2:14" x14ac:dyDescent="0.25">
      <c r="B19" s="43"/>
      <c r="E19" s="31">
        <f>$I19-150</f>
        <v>175</v>
      </c>
      <c r="F19" s="31">
        <f>$I19-100</f>
        <v>225</v>
      </c>
      <c r="G19" s="31">
        <f>$I19-75</f>
        <v>250</v>
      </c>
      <c r="H19" s="31">
        <f>$I19-50</f>
        <v>275</v>
      </c>
      <c r="I19" s="37">
        <f>Data!M9</f>
        <v>325</v>
      </c>
      <c r="J19" s="31">
        <f>$I19+50</f>
        <v>375</v>
      </c>
      <c r="K19" s="31">
        <f>$I19+75</f>
        <v>400</v>
      </c>
      <c r="L19" s="31">
        <f>$I19+100</f>
        <v>425</v>
      </c>
      <c r="M19" s="31">
        <f>$I19+150</f>
        <v>475</v>
      </c>
      <c r="N19" s="43"/>
    </row>
    <row r="20" spans="2:14" x14ac:dyDescent="0.25">
      <c r="B20" s="43"/>
      <c r="C20" s="29"/>
      <c r="D20" s="28"/>
      <c r="E20" s="30"/>
      <c r="F20" s="30"/>
      <c r="G20" s="30"/>
      <c r="H20" s="30"/>
      <c r="I20" s="34"/>
      <c r="J20" s="30"/>
      <c r="K20" s="30"/>
      <c r="L20" s="30"/>
      <c r="M20" s="28"/>
      <c r="N20" s="43"/>
    </row>
    <row r="21" spans="2:14" x14ac:dyDescent="0.25">
      <c r="B21" s="43"/>
      <c r="C21" s="51"/>
      <c r="D21" s="52">
        <f>D$25-2</f>
        <v>1.75</v>
      </c>
      <c r="E21" s="33">
        <f>(E$19*$D21)-Data!$M$28</f>
        <v>-139.75</v>
      </c>
      <c r="F21" s="33">
        <f>(F$19*$D21)-Data!$M$28</f>
        <v>-52.25</v>
      </c>
      <c r="G21" s="33">
        <f>(G$19*$D21)-Data!$M$28</f>
        <v>-8.5</v>
      </c>
      <c r="H21" s="33">
        <f>(H$19*$D21)-Data!$M$28</f>
        <v>35.25</v>
      </c>
      <c r="I21" s="35">
        <f>(I$19*$D21)-Data!$M$28</f>
        <v>122.75</v>
      </c>
      <c r="J21" s="33">
        <f>(J$19*$D21)-Data!$M$28</f>
        <v>210.25</v>
      </c>
      <c r="K21" s="33">
        <f>(K$19*$D21)-Data!$M$28</f>
        <v>254</v>
      </c>
      <c r="L21" s="33">
        <f>(L$19*$D21)-Data!$M$28</f>
        <v>297.75</v>
      </c>
      <c r="M21" s="36">
        <f>(M$19*$D21)-Data!$M$28</f>
        <v>385.25</v>
      </c>
      <c r="N21" s="43"/>
    </row>
    <row r="22" spans="2:14" x14ac:dyDescent="0.25">
      <c r="B22" s="43"/>
      <c r="C22" s="51"/>
      <c r="D22" s="52">
        <f>D$25-1.5</f>
        <v>2.25</v>
      </c>
      <c r="E22" s="33">
        <f>(E$19*$D22)-Data!$M$28</f>
        <v>-52.25</v>
      </c>
      <c r="F22" s="33">
        <f>(F$19*$D22)-Data!$M$28</f>
        <v>60.25</v>
      </c>
      <c r="G22" s="33">
        <f>(G$19*$D22)-Data!$M$28</f>
        <v>116.5</v>
      </c>
      <c r="H22" s="33">
        <f>(H$19*$D22)-Data!$M$28</f>
        <v>172.75</v>
      </c>
      <c r="I22" s="35">
        <f>(I$19*$D22)-Data!$M$28</f>
        <v>285.25</v>
      </c>
      <c r="J22" s="33">
        <f>(J$19*$D22)-Data!$M$28</f>
        <v>397.75</v>
      </c>
      <c r="K22" s="33">
        <f>(K$19*$D22)-Data!$M$28</f>
        <v>454</v>
      </c>
      <c r="L22" s="33">
        <f>(L$19*$D22)-Data!$M$28</f>
        <v>510.25</v>
      </c>
      <c r="M22" s="36">
        <f>(M$19*$D22)-Data!$M$28</f>
        <v>622.75</v>
      </c>
      <c r="N22" s="43"/>
    </row>
    <row r="23" spans="2:14" x14ac:dyDescent="0.25">
      <c r="B23" s="43"/>
      <c r="C23" s="51"/>
      <c r="D23" s="52">
        <f>D$25-1</f>
        <v>2.75</v>
      </c>
      <c r="E23" s="33">
        <f>(E$19*$D23)-Data!$M$28</f>
        <v>35.25</v>
      </c>
      <c r="F23" s="33">
        <f>(F$19*$D23)-Data!$M$28</f>
        <v>172.75</v>
      </c>
      <c r="G23" s="33">
        <f>(G$19*$D23)-Data!$M$28</f>
        <v>241.5</v>
      </c>
      <c r="H23" s="33">
        <f>(H$19*$D23)-Data!$M$28</f>
        <v>310.25</v>
      </c>
      <c r="I23" s="35">
        <f>(I$19*$D23)-Data!$M$28</f>
        <v>447.75</v>
      </c>
      <c r="J23" s="33">
        <f>(J$19*$D23)-Data!$M$28</f>
        <v>585.25</v>
      </c>
      <c r="K23" s="33">
        <f>(K$19*$D23)-Data!$M$28</f>
        <v>654</v>
      </c>
      <c r="L23" s="33">
        <f>(L$19*$D23)-Data!$M$28</f>
        <v>722.75</v>
      </c>
      <c r="M23" s="36">
        <f>(M$19*$D23)-Data!$M$28</f>
        <v>860.25</v>
      </c>
      <c r="N23" s="43"/>
    </row>
    <row r="24" spans="2:14" x14ac:dyDescent="0.25">
      <c r="B24" s="43"/>
      <c r="C24" s="51"/>
      <c r="D24" s="52">
        <f>D$25-0.5</f>
        <v>3.25</v>
      </c>
      <c r="E24" s="33">
        <f>(E$19*$D24)-Data!$M$28</f>
        <v>122.75</v>
      </c>
      <c r="F24" s="33">
        <f>(F$19*$D24)-Data!$M$28</f>
        <v>285.25</v>
      </c>
      <c r="G24" s="33">
        <f>(G$19*$D24)-Data!$M$28</f>
        <v>366.5</v>
      </c>
      <c r="H24" s="33">
        <f>(H$19*$D24)-Data!$M$28</f>
        <v>447.75</v>
      </c>
      <c r="I24" s="35">
        <f>(I$19*$D24)-Data!$M$28</f>
        <v>610.25</v>
      </c>
      <c r="J24" s="33">
        <f>(J$19*$D24)-Data!$M$28</f>
        <v>772.75</v>
      </c>
      <c r="K24" s="33">
        <f>(K$19*$D24)-Data!$M$28</f>
        <v>854</v>
      </c>
      <c r="L24" s="33">
        <f>(L$19*$D24)-Data!$M$28</f>
        <v>935.25</v>
      </c>
      <c r="M24" s="36">
        <f>(M$19*$D24)-Data!$M$28</f>
        <v>1097.75</v>
      </c>
      <c r="N24" s="43"/>
    </row>
    <row r="25" spans="2:14" ht="15" customHeight="1" x14ac:dyDescent="0.25">
      <c r="B25" s="44"/>
      <c r="C25" s="68" t="s">
        <v>60</v>
      </c>
      <c r="D25" s="72">
        <f>Data!M5</f>
        <v>3.75</v>
      </c>
      <c r="E25" s="69">
        <f>(E$19*$D25)-Data!$M$28</f>
        <v>210.25</v>
      </c>
      <c r="F25" s="69">
        <f>(F$19*$D25)-Data!$M$28</f>
        <v>397.75</v>
      </c>
      <c r="G25" s="69">
        <f>(G$19*$D25)-Data!$M$28</f>
        <v>491.5</v>
      </c>
      <c r="H25" s="69">
        <f>(H$19*$D25)-Data!$M$28</f>
        <v>585.25</v>
      </c>
      <c r="I25" s="69">
        <f>(I$19*$D25)-Data!$M$28</f>
        <v>772.75</v>
      </c>
      <c r="J25" s="69">
        <f>(J$19*$D25)-Data!$M$28</f>
        <v>960.25</v>
      </c>
      <c r="K25" s="69">
        <f>(K$19*$D25)-Data!$M$28</f>
        <v>1054</v>
      </c>
      <c r="L25" s="69">
        <f>(L$19*$D25)-Data!$M$28</f>
        <v>1147.75</v>
      </c>
      <c r="M25" s="70">
        <f>(M$19*$D25)-Data!$M$28</f>
        <v>1335.25</v>
      </c>
      <c r="N25" s="43"/>
    </row>
    <row r="26" spans="2:14" x14ac:dyDescent="0.25">
      <c r="B26" s="44"/>
      <c r="C26" s="68"/>
      <c r="D26" s="73"/>
      <c r="E26" s="69"/>
      <c r="F26" s="69"/>
      <c r="G26" s="69"/>
      <c r="H26" s="69"/>
      <c r="I26" s="69"/>
      <c r="J26" s="69"/>
      <c r="K26" s="69"/>
      <c r="L26" s="69"/>
      <c r="M26" s="70"/>
      <c r="N26" s="43"/>
    </row>
    <row r="27" spans="2:14" x14ac:dyDescent="0.25">
      <c r="B27" s="43"/>
      <c r="C27" s="51"/>
      <c r="D27" s="52">
        <f>D$25+0.5</f>
        <v>4.25</v>
      </c>
      <c r="E27" s="33">
        <f>(E$19*$D27)-Data!$M$28</f>
        <v>297.75</v>
      </c>
      <c r="F27" s="33">
        <f>(F$19*$D27)-Data!$M$28</f>
        <v>510.25</v>
      </c>
      <c r="G27" s="33">
        <f>(G$19*$D27)-Data!$M$28</f>
        <v>616.5</v>
      </c>
      <c r="H27" s="33">
        <f>(H$19*$D27)-Data!$M$28</f>
        <v>722.75</v>
      </c>
      <c r="I27" s="35">
        <f>(I$19*$D27)-Data!$M$28</f>
        <v>935.25</v>
      </c>
      <c r="J27" s="33">
        <f>(J$19*$D27)-Data!$M$28</f>
        <v>1147.75</v>
      </c>
      <c r="K27" s="33">
        <f>(K$19*$D27)-Data!$M$28</f>
        <v>1254</v>
      </c>
      <c r="L27" s="33">
        <f>(L$19*$D27)-Data!$M$28</f>
        <v>1360.25</v>
      </c>
      <c r="M27" s="36">
        <f>(M$19*$D27)-Data!$M$28</f>
        <v>1572.75</v>
      </c>
      <c r="N27" s="43"/>
    </row>
    <row r="28" spans="2:14" x14ac:dyDescent="0.25">
      <c r="B28" s="43"/>
      <c r="C28" s="51"/>
      <c r="D28" s="52">
        <f>D$25+1</f>
        <v>4.75</v>
      </c>
      <c r="E28" s="33">
        <f>(E$19*$D28)-Data!$M$28</f>
        <v>385.25</v>
      </c>
      <c r="F28" s="33">
        <f>(F$19*$D28)-Data!$M$28</f>
        <v>622.75</v>
      </c>
      <c r="G28" s="33">
        <f>(G$19*$D28)-Data!$M$28</f>
        <v>741.5</v>
      </c>
      <c r="H28" s="33">
        <f>(H$19*$D28)-Data!$M$28</f>
        <v>860.25</v>
      </c>
      <c r="I28" s="35">
        <f>(I$19*$D28)-Data!$M$28</f>
        <v>1097.75</v>
      </c>
      <c r="J28" s="33">
        <f>(J$19*$D28)-Data!$M$28</f>
        <v>1335.25</v>
      </c>
      <c r="K28" s="33">
        <f>(K$19*$D28)-Data!$M$28</f>
        <v>1454</v>
      </c>
      <c r="L28" s="33">
        <f>(L$19*$D28)-Data!$M$28</f>
        <v>1572.75</v>
      </c>
      <c r="M28" s="36">
        <f>(M$19*$D28)-Data!$M$28</f>
        <v>1810.25</v>
      </c>
      <c r="N28" s="43"/>
    </row>
    <row r="29" spans="2:14" x14ac:dyDescent="0.25">
      <c r="B29" s="43"/>
      <c r="C29" s="51"/>
      <c r="D29" s="52">
        <f>D$25+1.5</f>
        <v>5.25</v>
      </c>
      <c r="E29" s="33">
        <f>(E$19*$D29)-Data!$M$28</f>
        <v>472.75</v>
      </c>
      <c r="F29" s="33">
        <f>(F$19*$D29)-Data!$M$28</f>
        <v>735.25</v>
      </c>
      <c r="G29" s="33">
        <f>(G$19*$D29)-Data!$M$28</f>
        <v>866.5</v>
      </c>
      <c r="H29" s="33">
        <f>(H$19*$D29)-Data!$M$28</f>
        <v>997.75</v>
      </c>
      <c r="I29" s="35">
        <f>(I$19*$D29)-Data!$M$28</f>
        <v>1260.25</v>
      </c>
      <c r="J29" s="33">
        <f>(J$19*$D29)-Data!$M$28</f>
        <v>1522.75</v>
      </c>
      <c r="K29" s="33">
        <f>(K$19*$D29)-Data!$M$28</f>
        <v>1654</v>
      </c>
      <c r="L29" s="33">
        <f>(L$19*$D29)-Data!$M$28</f>
        <v>1785.25</v>
      </c>
      <c r="M29" s="36">
        <f>(M$19*$D29)-Data!$M$28</f>
        <v>2047.75</v>
      </c>
      <c r="N29" s="43"/>
    </row>
    <row r="30" spans="2:14" x14ac:dyDescent="0.25">
      <c r="B30" s="43"/>
      <c r="C30" s="53"/>
      <c r="D30" s="54">
        <f>D$25+2</f>
        <v>5.75</v>
      </c>
      <c r="E30" s="38">
        <f>(E$19*$D30)-Data!$M$28</f>
        <v>560.25</v>
      </c>
      <c r="F30" s="38">
        <f>(F$19*$D30)-Data!$M$28</f>
        <v>847.75</v>
      </c>
      <c r="G30" s="38">
        <f>(G$19*$D30)-Data!$M$28</f>
        <v>991.5</v>
      </c>
      <c r="H30" s="38">
        <f>(H$19*$D30)-Data!$M$28</f>
        <v>1135.25</v>
      </c>
      <c r="I30" s="41">
        <f>(I$19*$D30)-Data!$M$28</f>
        <v>1422.75</v>
      </c>
      <c r="J30" s="38">
        <f>(J$19*$D30)-Data!$M$28</f>
        <v>1710.25</v>
      </c>
      <c r="K30" s="38">
        <f>(K$19*$D30)-Data!$M$28</f>
        <v>1854</v>
      </c>
      <c r="L30" s="38">
        <f>(L$19*$D30)-Data!$M$28</f>
        <v>1997.75</v>
      </c>
      <c r="M30" s="42">
        <f>(M$19*$D30)-Data!$M$28</f>
        <v>2285.25</v>
      </c>
      <c r="N30" s="43"/>
    </row>
    <row r="31" spans="2:14" ht="9.9499999999999993" customHeight="1" x14ac:dyDescent="0.25">
      <c r="B31" s="43"/>
      <c r="C31" s="45"/>
      <c r="D31" s="43"/>
      <c r="E31" s="43"/>
      <c r="F31" s="43"/>
      <c r="G31" s="43"/>
      <c r="H31" s="43"/>
      <c r="I31" s="43"/>
      <c r="J31" s="43"/>
      <c r="K31" s="43"/>
      <c r="L31" s="43"/>
      <c r="M31" s="43"/>
      <c r="N31" s="43"/>
    </row>
  </sheetData>
  <mergeCells count="34">
    <mergeCell ref="H13:I13"/>
    <mergeCell ref="J13:K13"/>
    <mergeCell ref="L13:M13"/>
    <mergeCell ref="C9:G9"/>
    <mergeCell ref="C10:G10"/>
    <mergeCell ref="C11:G11"/>
    <mergeCell ref="C13:G13"/>
    <mergeCell ref="H8:I8"/>
    <mergeCell ref="H9:I9"/>
    <mergeCell ref="H11:I11"/>
    <mergeCell ref="H12:I12"/>
    <mergeCell ref="H10:I10"/>
    <mergeCell ref="L8:M8"/>
    <mergeCell ref="L9:M9"/>
    <mergeCell ref="L11:M11"/>
    <mergeCell ref="L12:M12"/>
    <mergeCell ref="J8:K8"/>
    <mergeCell ref="J9:K9"/>
    <mergeCell ref="J11:K11"/>
    <mergeCell ref="J12:K12"/>
    <mergeCell ref="J10:K10"/>
    <mergeCell ref="L10:M10"/>
    <mergeCell ref="C25:C26"/>
    <mergeCell ref="L25:L26"/>
    <mergeCell ref="M25:M26"/>
    <mergeCell ref="K25:K26"/>
    <mergeCell ref="B16:M16"/>
    <mergeCell ref="D25:D26"/>
    <mergeCell ref="G25:G26"/>
    <mergeCell ref="H25:H26"/>
    <mergeCell ref="J25:J26"/>
    <mergeCell ref="E25:E26"/>
    <mergeCell ref="F25:F26"/>
    <mergeCell ref="I25:I26"/>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04747-DD76-4585-833F-D53EB7BB65C0}">
  <dimension ref="B2:N39"/>
  <sheetViews>
    <sheetView workbookViewId="0"/>
  </sheetViews>
  <sheetFormatPr defaultRowHeight="15" x14ac:dyDescent="0.25"/>
  <cols>
    <col min="1" max="1" width="4.7109375" style="2" customWidth="1"/>
    <col min="2" max="2" width="20.7109375" style="2" customWidth="1"/>
    <col min="3" max="3" width="9.140625" style="2"/>
    <col min="4" max="4" width="20.7109375" style="2" customWidth="1"/>
    <col min="5" max="6" width="9.140625" style="2"/>
    <col min="7" max="7" width="1.7109375" style="2" customWidth="1"/>
    <col min="8" max="8" width="35.7109375" style="2" customWidth="1"/>
    <col min="9" max="13" width="12.7109375" style="2" customWidth="1"/>
    <col min="14" max="14" width="1.7109375" style="2" customWidth="1"/>
    <col min="15" max="16384" width="9.140625" style="2"/>
  </cols>
  <sheetData>
    <row r="2" spans="2:14" x14ac:dyDescent="0.25">
      <c r="B2" s="3" t="s">
        <v>1</v>
      </c>
      <c r="C2" s="1"/>
      <c r="D2" s="3" t="s">
        <v>2</v>
      </c>
      <c r="G2" s="22"/>
      <c r="H2" s="22"/>
      <c r="I2" s="23" t="s">
        <v>35</v>
      </c>
      <c r="J2" s="23" t="s">
        <v>36</v>
      </c>
      <c r="K2" s="23" t="s">
        <v>37</v>
      </c>
      <c r="L2" s="23" t="s">
        <v>38</v>
      </c>
      <c r="M2" s="23" t="s">
        <v>56</v>
      </c>
      <c r="N2" s="22"/>
    </row>
    <row r="3" spans="2:14" x14ac:dyDescent="0.25">
      <c r="B3" s="4" t="s">
        <v>3</v>
      </c>
      <c r="C3" s="1"/>
      <c r="D3" s="4" t="s">
        <v>78</v>
      </c>
      <c r="G3" s="22"/>
      <c r="H3" s="22"/>
      <c r="I3" s="22"/>
      <c r="J3" s="22"/>
      <c r="K3" s="22"/>
      <c r="L3" s="22"/>
      <c r="M3" s="22"/>
      <c r="N3" s="22"/>
    </row>
    <row r="4" spans="2:14" x14ac:dyDescent="0.25">
      <c r="B4" s="4" t="s">
        <v>4</v>
      </c>
      <c r="C4" s="1"/>
      <c r="D4" s="4" t="s">
        <v>6</v>
      </c>
      <c r="G4" s="22"/>
      <c r="H4" s="22" t="s">
        <v>21</v>
      </c>
      <c r="I4" s="24">
        <f>Input!$H$9</f>
        <v>130</v>
      </c>
      <c r="J4" s="24">
        <f>Input!$H$9</f>
        <v>130</v>
      </c>
      <c r="K4" s="24">
        <f>Input!$H$9</f>
        <v>130</v>
      </c>
      <c r="L4" s="24">
        <f>Input!$H$9</f>
        <v>130</v>
      </c>
      <c r="M4" s="24">
        <f>Input!$H$9</f>
        <v>130</v>
      </c>
      <c r="N4" s="22"/>
    </row>
    <row r="5" spans="2:14" x14ac:dyDescent="0.25">
      <c r="B5" s="4" t="s">
        <v>5</v>
      </c>
      <c r="C5" s="1"/>
      <c r="D5" s="4" t="s">
        <v>8</v>
      </c>
      <c r="G5" s="22"/>
      <c r="H5" s="22" t="s">
        <v>39</v>
      </c>
      <c r="I5" s="25">
        <f>Input!F14</f>
        <v>2.5</v>
      </c>
      <c r="J5" s="25">
        <f>Input!F32</f>
        <v>1.25</v>
      </c>
      <c r="K5" s="25">
        <f>Input!F50</f>
        <v>0</v>
      </c>
      <c r="L5" s="25">
        <f>Input!F68</f>
        <v>0</v>
      </c>
      <c r="M5" s="25">
        <f>SUM(I5:L5)</f>
        <v>3.75</v>
      </c>
      <c r="N5" s="22"/>
    </row>
    <row r="6" spans="2:14" x14ac:dyDescent="0.25">
      <c r="B6" s="4" t="s">
        <v>7</v>
      </c>
      <c r="C6" s="1"/>
      <c r="D6" s="4" t="s">
        <v>9</v>
      </c>
      <c r="G6" s="22"/>
      <c r="H6" s="22" t="s">
        <v>40</v>
      </c>
      <c r="I6" s="24">
        <f>I4*I5</f>
        <v>325</v>
      </c>
      <c r="J6" s="24">
        <f>J4*J5</f>
        <v>162.5</v>
      </c>
      <c r="K6" s="24">
        <f>K4*K5</f>
        <v>0</v>
      </c>
      <c r="L6" s="24">
        <f>L4*L5</f>
        <v>0</v>
      </c>
      <c r="M6" s="24">
        <f>SUM(I6:L6)</f>
        <v>487.5</v>
      </c>
      <c r="N6" s="22"/>
    </row>
    <row r="7" spans="2:14" x14ac:dyDescent="0.25">
      <c r="B7" s="1"/>
      <c r="C7" s="1"/>
      <c r="D7" s="4" t="s">
        <v>10</v>
      </c>
      <c r="G7" s="22"/>
      <c r="H7" s="22"/>
      <c r="I7" s="22"/>
      <c r="J7" s="22"/>
      <c r="K7" s="22"/>
      <c r="L7" s="22"/>
      <c r="M7" s="22"/>
      <c r="N7" s="22"/>
    </row>
    <row r="8" spans="2:14" x14ac:dyDescent="0.25">
      <c r="B8" s="1"/>
      <c r="C8" s="1"/>
      <c r="D8" s="4" t="s">
        <v>12</v>
      </c>
      <c r="G8" s="22"/>
      <c r="H8" s="22" t="s">
        <v>46</v>
      </c>
      <c r="I8" s="24">
        <f>Input!F15</f>
        <v>400</v>
      </c>
      <c r="J8" s="24">
        <f>Input!F33</f>
        <v>175</v>
      </c>
      <c r="K8" s="24">
        <f>Input!F51</f>
        <v>0</v>
      </c>
      <c r="L8" s="24">
        <f>Input!F69</f>
        <v>0</v>
      </c>
      <c r="M8" s="24"/>
      <c r="N8" s="22"/>
    </row>
    <row r="9" spans="2:14" x14ac:dyDescent="0.25">
      <c r="B9" s="5" t="s">
        <v>11</v>
      </c>
      <c r="C9" s="1"/>
      <c r="D9" s="4" t="s">
        <v>14</v>
      </c>
      <c r="G9" s="22"/>
      <c r="H9" s="22" t="s">
        <v>61</v>
      </c>
      <c r="I9" s="24"/>
      <c r="J9" s="24"/>
      <c r="K9" s="24"/>
      <c r="L9" s="24"/>
      <c r="M9" s="24">
        <f>SUMPRODUCT(I5:L5,I8:L8)/SUM(I5:L5)</f>
        <v>325</v>
      </c>
      <c r="N9" s="22"/>
    </row>
    <row r="10" spans="2:14" x14ac:dyDescent="0.25">
      <c r="B10" s="6" t="s">
        <v>13</v>
      </c>
      <c r="C10" s="1"/>
      <c r="D10" s="4" t="s">
        <v>7</v>
      </c>
      <c r="G10" s="22"/>
      <c r="H10" s="22" t="s">
        <v>47</v>
      </c>
      <c r="I10" s="24">
        <f>I6*I8</f>
        <v>130000</v>
      </c>
      <c r="J10" s="24">
        <f>J6*J8</f>
        <v>28437.5</v>
      </c>
      <c r="K10" s="24">
        <f>K6*K8</f>
        <v>0</v>
      </c>
      <c r="L10" s="24">
        <f>L6*L8</f>
        <v>0</v>
      </c>
      <c r="M10" s="24">
        <f>SUM(I10:L10)</f>
        <v>158437.5</v>
      </c>
      <c r="N10" s="22"/>
    </row>
    <row r="11" spans="2:14" x14ac:dyDescent="0.25">
      <c r="B11" s="6" t="s">
        <v>15</v>
      </c>
      <c r="C11" s="1"/>
      <c r="D11" s="4" t="s">
        <v>7</v>
      </c>
      <c r="G11" s="22"/>
      <c r="H11" s="22" t="s">
        <v>48</v>
      </c>
      <c r="I11" s="24">
        <f>I5*I8</f>
        <v>1000</v>
      </c>
      <c r="J11" s="24">
        <f>J5*J8</f>
        <v>218.75</v>
      </c>
      <c r="K11" s="24">
        <f>K5*K8</f>
        <v>0</v>
      </c>
      <c r="L11" s="24">
        <f>L5*L8</f>
        <v>0</v>
      </c>
      <c r="M11" s="24">
        <f>M10/M4</f>
        <v>1218.75</v>
      </c>
      <c r="N11" s="22"/>
    </row>
    <row r="12" spans="2:14" x14ac:dyDescent="0.25">
      <c r="B12" s="6" t="s">
        <v>16</v>
      </c>
      <c r="C12" s="1"/>
      <c r="G12" s="22"/>
      <c r="H12" s="22" t="s">
        <v>49</v>
      </c>
      <c r="I12" s="24">
        <f>IF(I5=0,0,I10/I6)</f>
        <v>400</v>
      </c>
      <c r="J12" s="24">
        <f>IF(J5=0,0,J10/J6)</f>
        <v>175</v>
      </c>
      <c r="K12" s="24">
        <f>IF(K5=0,0,K10/K6)</f>
        <v>0</v>
      </c>
      <c r="L12" s="24">
        <f>IF(L5=0,0,L10/L6)</f>
        <v>0</v>
      </c>
      <c r="M12" s="24">
        <f>M10/M6</f>
        <v>325</v>
      </c>
      <c r="N12" s="22"/>
    </row>
    <row r="13" spans="2:14" x14ac:dyDescent="0.25">
      <c r="B13" s="6" t="s">
        <v>17</v>
      </c>
      <c r="C13" s="1"/>
      <c r="D13" s="1"/>
      <c r="G13" s="22"/>
      <c r="H13" s="22"/>
      <c r="I13" s="22"/>
      <c r="J13" s="22"/>
      <c r="K13" s="22"/>
      <c r="L13" s="22"/>
      <c r="M13" s="22"/>
      <c r="N13" s="22"/>
    </row>
    <row r="14" spans="2:14" x14ac:dyDescent="0.25">
      <c r="B14" s="6" t="s">
        <v>18</v>
      </c>
      <c r="C14" s="1"/>
      <c r="D14" s="1"/>
      <c r="G14" s="22"/>
      <c r="H14" s="22" t="s">
        <v>73</v>
      </c>
      <c r="I14" s="22"/>
      <c r="J14" s="22"/>
      <c r="K14" s="22"/>
      <c r="L14" s="22"/>
      <c r="M14" s="22"/>
      <c r="N14" s="22"/>
    </row>
    <row r="15" spans="2:14" x14ac:dyDescent="0.25">
      <c r="B15" s="1"/>
      <c r="C15" s="1"/>
      <c r="D15" s="1"/>
      <c r="G15" s="22"/>
      <c r="H15" s="50" t="s">
        <v>74</v>
      </c>
      <c r="I15" s="24">
        <f>I10*(1-Input!$H$10)</f>
        <v>130000</v>
      </c>
      <c r="J15" s="24">
        <f>J10*(1-Input!$H$10)</f>
        <v>28437.5</v>
      </c>
      <c r="K15" s="24">
        <f>K10*(1-Input!$H$10)</f>
        <v>0</v>
      </c>
      <c r="L15" s="24">
        <f>L10*(1-Input!$H$10)</f>
        <v>0</v>
      </c>
      <c r="M15" s="24">
        <f>M10*(1-Input!$H$10)</f>
        <v>158437.5</v>
      </c>
      <c r="N15" s="22"/>
    </row>
    <row r="16" spans="2:14" x14ac:dyDescent="0.25">
      <c r="B16" s="1"/>
      <c r="C16" s="1"/>
      <c r="D16" s="1"/>
      <c r="G16" s="22"/>
      <c r="H16" s="50" t="s">
        <v>75</v>
      </c>
      <c r="I16" s="24">
        <f>I11*(1-Input!$H$10)</f>
        <v>1000</v>
      </c>
      <c r="J16" s="24">
        <f>J11*(1-Input!$H$10)</f>
        <v>218.75</v>
      </c>
      <c r="K16" s="24">
        <f>K11*(1-Input!$H$10)</f>
        <v>0</v>
      </c>
      <c r="L16" s="24">
        <f>L11*(1-Input!$H$10)</f>
        <v>0</v>
      </c>
      <c r="M16" s="24">
        <f>M11*(1-Input!$H$10)</f>
        <v>1218.75</v>
      </c>
      <c r="N16" s="22"/>
    </row>
    <row r="17" spans="2:14" x14ac:dyDescent="0.25">
      <c r="B17" s="7" t="s">
        <v>19</v>
      </c>
      <c r="C17" s="1"/>
      <c r="D17" s="1"/>
      <c r="G17" s="22"/>
      <c r="H17" s="50" t="s">
        <v>76</v>
      </c>
      <c r="I17" s="24">
        <f>I12*(1-Input!$H$10)</f>
        <v>400</v>
      </c>
      <c r="J17" s="24">
        <f>J12*(1-Input!$H$10)</f>
        <v>175</v>
      </c>
      <c r="K17" s="24">
        <f>K12*(1-Input!$H$10)</f>
        <v>0</v>
      </c>
      <c r="L17" s="24">
        <f>L12*(1-Input!$H$10)</f>
        <v>0</v>
      </c>
      <c r="M17" s="24">
        <f>M12*(1-Input!$H$10)</f>
        <v>325</v>
      </c>
      <c r="N17" s="22"/>
    </row>
    <row r="18" spans="2:14" x14ac:dyDescent="0.25">
      <c r="B18" s="8">
        <v>1</v>
      </c>
      <c r="C18" s="1"/>
      <c r="D18" s="1"/>
      <c r="G18" s="22"/>
      <c r="H18" s="22"/>
      <c r="I18" s="22"/>
      <c r="J18" s="22"/>
      <c r="K18" s="22"/>
      <c r="L18" s="22"/>
      <c r="M18" s="22"/>
      <c r="N18" s="22"/>
    </row>
    <row r="19" spans="2:14" x14ac:dyDescent="0.25">
      <c r="B19" s="8">
        <v>2</v>
      </c>
      <c r="C19" s="1"/>
      <c r="D19" s="1"/>
      <c r="G19" s="22"/>
      <c r="H19" s="22" t="s">
        <v>41</v>
      </c>
      <c r="I19" s="24"/>
      <c r="J19" s="24"/>
      <c r="K19" s="24"/>
      <c r="L19" s="24"/>
      <c r="M19" s="24"/>
      <c r="N19" s="22"/>
    </row>
    <row r="20" spans="2:14" x14ac:dyDescent="0.25">
      <c r="B20" s="8">
        <v>3</v>
      </c>
      <c r="C20" s="1"/>
      <c r="D20" s="1"/>
      <c r="G20" s="22"/>
      <c r="H20" s="26" t="s">
        <v>42</v>
      </c>
      <c r="I20" s="24">
        <f>SUM(Input!H18:H22)</f>
        <v>68</v>
      </c>
      <c r="J20" s="24">
        <f>SUM(Input!H36:H40)</f>
        <v>68</v>
      </c>
      <c r="K20" s="24">
        <f>SUM(Input!H54:H58)</f>
        <v>0</v>
      </c>
      <c r="L20" s="24">
        <f>SUM(Input!H72:H76)</f>
        <v>0</v>
      </c>
      <c r="M20" s="24"/>
      <c r="N20" s="22"/>
    </row>
    <row r="21" spans="2:14" x14ac:dyDescent="0.25">
      <c r="B21" s="8">
        <v>4</v>
      </c>
      <c r="C21" s="1"/>
      <c r="D21" s="1"/>
      <c r="G21" s="22"/>
      <c r="H21" s="26" t="s">
        <v>43</v>
      </c>
      <c r="I21" s="24">
        <f>SUM(Input!J18:J22)</f>
        <v>0</v>
      </c>
      <c r="J21" s="24">
        <f>SUM(Input!J36:J40)</f>
        <v>0</v>
      </c>
      <c r="K21" s="24">
        <f>SUM(Input!J54:J58)</f>
        <v>0</v>
      </c>
      <c r="L21" s="24">
        <f>SUM(Input!J72:J76)</f>
        <v>0</v>
      </c>
      <c r="M21" s="24"/>
      <c r="N21" s="22"/>
    </row>
    <row r="22" spans="2:14" x14ac:dyDescent="0.25">
      <c r="B22" s="8">
        <v>5</v>
      </c>
      <c r="C22" s="1"/>
      <c r="D22" s="1"/>
      <c r="G22" s="22"/>
      <c r="H22" s="22" t="s">
        <v>44</v>
      </c>
      <c r="I22" s="24">
        <f>Input!H24</f>
        <v>130</v>
      </c>
      <c r="J22" s="24">
        <f>Input!H42</f>
        <v>130</v>
      </c>
      <c r="K22" s="24">
        <f>Input!H60</f>
        <v>0</v>
      </c>
      <c r="L22" s="24">
        <f>Input!H78</f>
        <v>0</v>
      </c>
      <c r="M22" s="24"/>
      <c r="N22" s="22"/>
    </row>
    <row r="23" spans="2:14" x14ac:dyDescent="0.25">
      <c r="B23" s="1"/>
      <c r="C23" s="1"/>
      <c r="D23" s="1"/>
      <c r="G23" s="22"/>
      <c r="H23" s="22" t="s">
        <v>45</v>
      </c>
      <c r="I23" s="24"/>
      <c r="J23" s="24"/>
      <c r="K23" s="24"/>
      <c r="L23" s="24"/>
      <c r="M23" s="24"/>
      <c r="N23" s="22"/>
    </row>
    <row r="24" spans="2:14" x14ac:dyDescent="0.25">
      <c r="B24" s="3" t="s">
        <v>20</v>
      </c>
      <c r="C24" s="1"/>
      <c r="D24" s="1"/>
      <c r="G24" s="22"/>
      <c r="H24" s="27" t="s">
        <v>42</v>
      </c>
      <c r="I24" s="24">
        <f>Input!H26</f>
        <v>25</v>
      </c>
      <c r="J24" s="24">
        <f>Input!H44</f>
        <v>25</v>
      </c>
      <c r="K24" s="24">
        <f>Input!H62</f>
        <v>0</v>
      </c>
      <c r="L24" s="24">
        <f>Input!H80</f>
        <v>0</v>
      </c>
      <c r="M24" s="24"/>
      <c r="N24" s="22"/>
    </row>
    <row r="25" spans="2:14" x14ac:dyDescent="0.25">
      <c r="B25" s="4">
        <v>0</v>
      </c>
      <c r="C25" s="1"/>
      <c r="D25" s="1"/>
      <c r="G25" s="22"/>
      <c r="H25" s="27" t="s">
        <v>43</v>
      </c>
      <c r="I25" s="24">
        <f>Input!J26</f>
        <v>0</v>
      </c>
      <c r="J25" s="24">
        <f>Input!J44</f>
        <v>0</v>
      </c>
      <c r="K25" s="24">
        <f>Input!J62</f>
        <v>0</v>
      </c>
      <c r="L25" s="24">
        <f>Input!J80</f>
        <v>0</v>
      </c>
      <c r="M25" s="24"/>
      <c r="N25" s="22"/>
    </row>
    <row r="26" spans="2:14" x14ac:dyDescent="0.25">
      <c r="B26" s="9">
        <v>0.1</v>
      </c>
      <c r="C26" s="1"/>
      <c r="D26" s="1"/>
      <c r="G26" s="22"/>
      <c r="H26" s="22"/>
      <c r="I26" s="24"/>
      <c r="J26" s="24"/>
      <c r="K26" s="24"/>
      <c r="L26" s="24"/>
      <c r="M26" s="24"/>
      <c r="N26" s="22"/>
    </row>
    <row r="27" spans="2:14" x14ac:dyDescent="0.25">
      <c r="B27" s="9">
        <v>0.2</v>
      </c>
      <c r="C27" s="1"/>
      <c r="D27" s="1"/>
      <c r="G27" s="22"/>
      <c r="H27" s="22" t="s">
        <v>50</v>
      </c>
      <c r="I27" s="24">
        <f>(I20*I4)+(I21*I5)+(I22*I4)+(I24*I4)+(I25*I5)</f>
        <v>28990</v>
      </c>
      <c r="J27" s="24">
        <f>(J20*J4)+(J21*J5)+(J22*J4)+(J24*J4)+(J25*J5)</f>
        <v>28990</v>
      </c>
      <c r="K27" s="24">
        <f>(K20*K4)+(K21*K5)+(K22*K4)+(K24*K4)+(K25*K5)</f>
        <v>0</v>
      </c>
      <c r="L27" s="24">
        <f>(L20*L4)+(L21*L5)+(L22*L4)+(L24*L4)+(L25*L5)</f>
        <v>0</v>
      </c>
      <c r="M27" s="24">
        <f>SUM(I27:L27)</f>
        <v>57980</v>
      </c>
      <c r="N27" s="22"/>
    </row>
    <row r="28" spans="2:14" x14ac:dyDescent="0.25">
      <c r="B28" s="9">
        <v>0.25</v>
      </c>
      <c r="C28" s="1"/>
      <c r="D28" s="1"/>
      <c r="G28" s="22"/>
      <c r="H28" s="22" t="s">
        <v>51</v>
      </c>
      <c r="I28" s="24">
        <f>I27/I4</f>
        <v>223</v>
      </c>
      <c r="J28" s="24">
        <f>J27/J4</f>
        <v>223</v>
      </c>
      <c r="K28" s="24">
        <f>K27/K4</f>
        <v>0</v>
      </c>
      <c r="L28" s="24">
        <f>L27/L4</f>
        <v>0</v>
      </c>
      <c r="M28" s="24">
        <f>M27/M4</f>
        <v>446</v>
      </c>
      <c r="N28" s="22"/>
    </row>
    <row r="29" spans="2:14" x14ac:dyDescent="0.25">
      <c r="B29" s="9">
        <v>0.3</v>
      </c>
      <c r="C29" s="1"/>
      <c r="D29" s="1"/>
      <c r="G29" s="22"/>
      <c r="H29" s="22" t="s">
        <v>52</v>
      </c>
      <c r="I29" s="24">
        <f>IF(I5=0,0,I27/I6)</f>
        <v>89.2</v>
      </c>
      <c r="J29" s="24">
        <f>IF(J5=0,0,J27/J6)</f>
        <v>178.4</v>
      </c>
      <c r="K29" s="24">
        <f>IF(K5=0,0,K27/K6)</f>
        <v>0</v>
      </c>
      <c r="L29" s="24">
        <f>IF(L5=0,0,L27/L6)</f>
        <v>0</v>
      </c>
      <c r="M29" s="24">
        <f>M27/M6</f>
        <v>118.93333333333334</v>
      </c>
      <c r="N29" s="22"/>
    </row>
    <row r="30" spans="2:14" x14ac:dyDescent="0.25">
      <c r="B30" s="9">
        <v>0.33</v>
      </c>
      <c r="C30" s="1"/>
      <c r="D30" s="1"/>
      <c r="G30" s="22"/>
      <c r="H30" s="22"/>
      <c r="I30" s="24"/>
      <c r="J30" s="24"/>
      <c r="K30" s="24"/>
      <c r="L30" s="24"/>
      <c r="M30" s="24"/>
      <c r="N30" s="22"/>
    </row>
    <row r="31" spans="2:14" x14ac:dyDescent="0.25">
      <c r="B31" s="9">
        <v>0.4</v>
      </c>
      <c r="C31" s="1"/>
      <c r="D31" s="1"/>
      <c r="G31" s="22"/>
      <c r="H31" s="22" t="s">
        <v>53</v>
      </c>
      <c r="I31" s="24">
        <f t="shared" ref="I31:L33" si="0">I10-I27</f>
        <v>101010</v>
      </c>
      <c r="J31" s="24">
        <f t="shared" si="0"/>
        <v>-552.5</v>
      </c>
      <c r="K31" s="24">
        <f t="shared" si="0"/>
        <v>0</v>
      </c>
      <c r="L31" s="24">
        <f t="shared" si="0"/>
        <v>0</v>
      </c>
      <c r="M31" s="24">
        <f>SUM(I31:L31)</f>
        <v>100457.5</v>
      </c>
      <c r="N31" s="22"/>
    </row>
    <row r="32" spans="2:14" x14ac:dyDescent="0.25">
      <c r="B32" s="9">
        <v>0.5</v>
      </c>
      <c r="C32" s="1"/>
      <c r="D32" s="1"/>
      <c r="G32" s="22"/>
      <c r="H32" s="22" t="s">
        <v>54</v>
      </c>
      <c r="I32" s="24">
        <f t="shared" si="0"/>
        <v>777</v>
      </c>
      <c r="J32" s="24">
        <f t="shared" si="0"/>
        <v>-4.25</v>
      </c>
      <c r="K32" s="24">
        <f t="shared" si="0"/>
        <v>0</v>
      </c>
      <c r="L32" s="24">
        <f t="shared" si="0"/>
        <v>0</v>
      </c>
      <c r="M32" s="24">
        <f>M31/M4</f>
        <v>772.75</v>
      </c>
      <c r="N32" s="22"/>
    </row>
    <row r="33" spans="2:14" x14ac:dyDescent="0.25">
      <c r="B33" s="9">
        <v>0.6</v>
      </c>
      <c r="C33" s="1"/>
      <c r="D33" s="1"/>
      <c r="G33" s="22"/>
      <c r="H33" s="22" t="s">
        <v>55</v>
      </c>
      <c r="I33" s="24">
        <f t="shared" si="0"/>
        <v>310.8</v>
      </c>
      <c r="J33" s="24">
        <f t="shared" si="0"/>
        <v>-3.4000000000000057</v>
      </c>
      <c r="K33" s="24">
        <f t="shared" si="0"/>
        <v>0</v>
      </c>
      <c r="L33" s="24">
        <f t="shared" si="0"/>
        <v>0</v>
      </c>
      <c r="M33" s="24">
        <f>M31/M6</f>
        <v>206.06666666666666</v>
      </c>
      <c r="N33" s="22"/>
    </row>
    <row r="34" spans="2:14" x14ac:dyDescent="0.25">
      <c r="B34" s="9">
        <v>0.67</v>
      </c>
      <c r="C34" s="1"/>
      <c r="D34" s="1"/>
      <c r="G34" s="22"/>
      <c r="H34" s="22"/>
      <c r="I34" s="25"/>
      <c r="J34" s="22"/>
      <c r="K34" s="22"/>
      <c r="L34" s="22"/>
      <c r="M34" s="22"/>
      <c r="N34" s="22"/>
    </row>
    <row r="35" spans="2:14" x14ac:dyDescent="0.25">
      <c r="B35" s="9">
        <v>0.7</v>
      </c>
      <c r="C35" s="1"/>
      <c r="D35" s="1"/>
    </row>
    <row r="36" spans="2:14" x14ac:dyDescent="0.25">
      <c r="B36" s="9">
        <v>0.75</v>
      </c>
      <c r="C36" s="1"/>
      <c r="D36" s="1"/>
      <c r="I36" s="32"/>
      <c r="J36" s="32"/>
      <c r="K36" s="32"/>
      <c r="L36" s="32"/>
      <c r="M36" s="32"/>
    </row>
    <row r="37" spans="2:14" x14ac:dyDescent="0.25">
      <c r="B37" s="9">
        <v>0.8</v>
      </c>
      <c r="C37" s="1"/>
      <c r="D37" s="1"/>
    </row>
    <row r="38" spans="2:14" x14ac:dyDescent="0.25">
      <c r="B38" s="9">
        <v>0.9</v>
      </c>
      <c r="C38" s="1"/>
      <c r="D38" s="1"/>
    </row>
    <row r="39" spans="2:14" x14ac:dyDescent="0.25">
      <c r="B39" s="9">
        <v>1</v>
      </c>
      <c r="C39" s="1"/>
      <c r="D3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Input</vt:lpstr>
      <vt:lpstr>Results</vt:lpstr>
      <vt:lpstr>Data</vt:lpstr>
    </vt:vector>
  </TitlesOfParts>
  <Company>Colorado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Tranel</dc:creator>
  <cp:lastModifiedBy>Jeffrey Tranel</cp:lastModifiedBy>
  <dcterms:created xsi:type="dcterms:W3CDTF">2026-07-20T12:50:49Z</dcterms:created>
  <dcterms:modified xsi:type="dcterms:W3CDTF">2026-07-30T21:50:04Z</dcterms:modified>
</cp:coreProperties>
</file>