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3 - ABM\Enterprise Budgets\Enterprise Budgets - Crops\2023\"/>
    </mc:Choice>
  </mc:AlternateContent>
  <xr:revisionPtr revIDLastSave="0" documentId="13_ncr:1_{84B2D0B1-98A4-4617-8A80-8C52D1D294EF}" xr6:coauthVersionLast="47" xr6:coauthVersionMax="47" xr10:uidLastSave="{00000000-0000-0000-0000-000000000000}"/>
  <bookViews>
    <workbookView xWindow="-28920" yWindow="-105" windowWidth="29040" windowHeight="15720" activeTab="1" xr2:uid="{00000000-000D-0000-FFFF-FFFF00000000}"/>
  </bookViews>
  <sheets>
    <sheet name="Input Page" sheetId="1" r:id="rId1"/>
    <sheet name="Summary Budget" sheetId="13" r:id="rId2"/>
    <sheet name="Data" sheetId="9" r:id="rId3"/>
  </sheets>
  <definedNames>
    <definedName name="_xlnm.Print_Area" localSheetId="1">'Summary Budget'!$C$1:$I$60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3" l="1"/>
  <c r="I19" i="13"/>
  <c r="G94" i="1"/>
  <c r="I28" i="13"/>
  <c r="H28" i="13" s="1"/>
  <c r="I41" i="13"/>
  <c r="C26" i="13"/>
  <c r="E31" i="13"/>
  <c r="H150" i="1" l="1"/>
  <c r="H139" i="1" l="1"/>
  <c r="H138" i="1"/>
  <c r="I42" i="13" l="1"/>
  <c r="H42" i="13" s="1"/>
  <c r="G11" i="13"/>
  <c r="F11" i="13"/>
  <c r="E11" i="13"/>
  <c r="C11" i="13"/>
  <c r="G10" i="13"/>
  <c r="F10" i="13"/>
  <c r="E10" i="13"/>
  <c r="C10" i="13"/>
  <c r="I11" i="13" l="1"/>
  <c r="H41" i="13"/>
  <c r="I29" i="13"/>
  <c r="H29" i="13" s="1"/>
  <c r="I30" i="13"/>
  <c r="G53" i="13" l="1"/>
  <c r="F53" i="13" s="1"/>
  <c r="G9" i="13"/>
  <c r="I4" i="13"/>
  <c r="C4" i="13"/>
  <c r="H44" i="1"/>
  <c r="H43" i="1"/>
  <c r="H42" i="1"/>
  <c r="H41" i="1"/>
  <c r="H40" i="1"/>
  <c r="H39" i="1"/>
  <c r="H38" i="1"/>
  <c r="H37" i="1"/>
  <c r="H36" i="1"/>
  <c r="H35" i="1"/>
  <c r="H34" i="1"/>
  <c r="H53" i="13" l="1"/>
  <c r="E53" i="13"/>
  <c r="I53" i="13"/>
  <c r="I10" i="13"/>
  <c r="H129" i="1"/>
  <c r="H128" i="1"/>
  <c r="H127" i="1"/>
  <c r="H126" i="1"/>
  <c r="H125" i="1"/>
  <c r="H124" i="1"/>
  <c r="H123" i="1"/>
  <c r="H122" i="1"/>
  <c r="H114" i="1"/>
  <c r="H113" i="1"/>
  <c r="H112" i="1"/>
  <c r="H111" i="1"/>
  <c r="H110" i="1"/>
  <c r="H109" i="1"/>
  <c r="H99" i="1"/>
  <c r="H98" i="1"/>
  <c r="H85" i="1"/>
  <c r="H84" i="1"/>
  <c r="H83" i="1"/>
  <c r="H82" i="1"/>
  <c r="H81" i="1"/>
  <c r="H73" i="1"/>
  <c r="H72" i="1"/>
  <c r="H26" i="1"/>
  <c r="F25" i="1"/>
  <c r="C25" i="1"/>
  <c r="I43" i="13"/>
  <c r="H43" i="13" s="1"/>
  <c r="E9" i="13" l="1"/>
  <c r="D53" i="13"/>
  <c r="F9" i="13"/>
  <c r="C9" i="13"/>
  <c r="H30" i="13"/>
  <c r="I9" i="13" l="1"/>
  <c r="D56" i="13"/>
  <c r="H44" i="13"/>
  <c r="I44" i="13"/>
  <c r="H142" i="1"/>
  <c r="I36" i="13" s="1"/>
  <c r="H36" i="13" s="1"/>
  <c r="H140" i="1"/>
  <c r="H74" i="1"/>
  <c r="H71" i="1"/>
  <c r="H70" i="1"/>
  <c r="I25" i="13" l="1"/>
  <c r="D55" i="13"/>
  <c r="D54" i="13"/>
  <c r="D57" i="13"/>
  <c r="D58" i="13"/>
  <c r="H25" i="13"/>
  <c r="H151" i="1"/>
  <c r="I27" i="13" s="1"/>
  <c r="H143" i="1"/>
  <c r="I35" i="13" s="1"/>
  <c r="H35" i="13" s="1"/>
  <c r="H27" i="1"/>
  <c r="H137" i="1"/>
  <c r="H136" i="1"/>
  <c r="H121" i="1"/>
  <c r="H120" i="1"/>
  <c r="H101" i="1"/>
  <c r="H100" i="1"/>
  <c r="H97" i="1"/>
  <c r="H96" i="1"/>
  <c r="H95" i="1"/>
  <c r="H94" i="1"/>
  <c r="H108" i="1"/>
  <c r="H107" i="1"/>
  <c r="H80" i="1"/>
  <c r="I26" i="13" s="1"/>
  <c r="H64" i="1"/>
  <c r="H63" i="1"/>
  <c r="H62" i="1"/>
  <c r="H61" i="1"/>
  <c r="H55" i="1"/>
  <c r="H54" i="1"/>
  <c r="H53" i="1"/>
  <c r="H52" i="1"/>
  <c r="H51" i="1"/>
  <c r="H25" i="1"/>
  <c r="I20" i="13" l="1"/>
  <c r="H20" i="13" s="1"/>
  <c r="I23" i="13"/>
  <c r="H23" i="13" s="1"/>
  <c r="I24" i="13"/>
  <c r="H24" i="13" s="1"/>
  <c r="I22" i="13"/>
  <c r="H22" i="13" s="1"/>
  <c r="I34" i="13"/>
  <c r="H34" i="13" s="1"/>
  <c r="H37" i="13" s="1"/>
  <c r="I21" i="13"/>
  <c r="H21" i="13" s="1"/>
  <c r="H28" i="1"/>
  <c r="I13" i="13" s="1"/>
  <c r="H13" i="13" s="1"/>
  <c r="I37" i="13" l="1"/>
  <c r="I31" i="13"/>
  <c r="H31" i="13" s="1"/>
  <c r="H26" i="13"/>
  <c r="I32" i="13" l="1"/>
  <c r="I39" i="13" s="1"/>
  <c r="I46" i="13" s="1"/>
  <c r="H27" i="13"/>
  <c r="I48" i="13" l="1"/>
  <c r="G56" i="13"/>
  <c r="F56" i="13"/>
  <c r="E56" i="13"/>
  <c r="H56" i="13"/>
  <c r="I56" i="13"/>
  <c r="F57" i="13"/>
  <c r="F54" i="13"/>
  <c r="H58" i="13"/>
  <c r="G57" i="13"/>
  <c r="I55" i="13"/>
  <c r="F58" i="13"/>
  <c r="H55" i="13"/>
  <c r="I54" i="13"/>
  <c r="I57" i="13"/>
  <c r="E54" i="13"/>
  <c r="E58" i="13"/>
  <c r="E57" i="13"/>
  <c r="H57" i="13"/>
  <c r="G55" i="13"/>
  <c r="G58" i="13"/>
  <c r="F55" i="13"/>
  <c r="H54" i="13"/>
  <c r="G54" i="13"/>
  <c r="I58" i="13"/>
  <c r="E55" i="13"/>
  <c r="H32" i="13"/>
  <c r="H39" i="13" s="1"/>
  <c r="H46" i="13" s="1"/>
  <c r="H48" i="13" s="1"/>
</calcChain>
</file>

<file path=xl/sharedStrings.xml><?xml version="1.0" encoding="utf-8"?>
<sst xmlns="http://schemas.openxmlformats.org/spreadsheetml/2006/main" count="499" uniqueCount="258">
  <si>
    <t>REVENUES</t>
  </si>
  <si>
    <t>Corn Grain</t>
  </si>
  <si>
    <t>bushels</t>
  </si>
  <si>
    <t>Other</t>
  </si>
  <si>
    <t>acres</t>
  </si>
  <si>
    <t>Land Preparation</t>
  </si>
  <si>
    <t>Corn Silage</t>
  </si>
  <si>
    <t>Corn Stubble</t>
  </si>
  <si>
    <t>Alalfa Hay</t>
  </si>
  <si>
    <t>Grass Hay</t>
  </si>
  <si>
    <t>Wheat</t>
  </si>
  <si>
    <t>Dry Beans</t>
  </si>
  <si>
    <t>Pinto Beans</t>
  </si>
  <si>
    <t>Potatoes</t>
  </si>
  <si>
    <t>Sugar Beets</t>
  </si>
  <si>
    <t>Grain Sorghum (Milo)</t>
  </si>
  <si>
    <t>Sunflowers</t>
  </si>
  <si>
    <t>Crop</t>
  </si>
  <si>
    <t>Proso Millet</t>
  </si>
  <si>
    <t>Stubble (Grazing)</t>
  </si>
  <si>
    <t>Straw</t>
  </si>
  <si>
    <t>Onions</t>
  </si>
  <si>
    <t>Units</t>
  </si>
  <si>
    <t>tons</t>
  </si>
  <si>
    <t>cwt</t>
  </si>
  <si>
    <t>bags</t>
  </si>
  <si>
    <t>sacks</t>
  </si>
  <si>
    <t>bales</t>
  </si>
  <si>
    <t>Disk</t>
  </si>
  <si>
    <t>Plow - Moldboard</t>
  </si>
  <si>
    <t>Deep Chisel</t>
  </si>
  <si>
    <t>Surface Chisel</t>
  </si>
  <si>
    <t>Sweep</t>
  </si>
  <si>
    <t>Harrow</t>
  </si>
  <si>
    <t>Cultivate</t>
  </si>
  <si>
    <t>Bedding</t>
  </si>
  <si>
    <t>Rod Weeder</t>
  </si>
  <si>
    <t>Leveling/Floating</t>
  </si>
  <si>
    <t>Furrowing</t>
  </si>
  <si>
    <t>Mowing</t>
  </si>
  <si>
    <t>Swathing</t>
  </si>
  <si>
    <t>Raking</t>
  </si>
  <si>
    <t>Baling - Small Bales</t>
  </si>
  <si>
    <t>Baling - Large Bales</t>
  </si>
  <si>
    <t>Loading/Stacking</t>
  </si>
  <si>
    <t>Hauling</t>
  </si>
  <si>
    <t>Tub Grinding</t>
  </si>
  <si>
    <t>Planting</t>
  </si>
  <si>
    <t>Seed</t>
  </si>
  <si>
    <t>Irrigation</t>
  </si>
  <si>
    <t>Labor</t>
  </si>
  <si>
    <t>Water</t>
  </si>
  <si>
    <t>Number of Times Field Irrigated</t>
  </si>
  <si>
    <t>Fertilizer</t>
  </si>
  <si>
    <t>Starter</t>
  </si>
  <si>
    <t>Nitrogen</t>
  </si>
  <si>
    <t>Phosphorous</t>
  </si>
  <si>
    <t>Lime</t>
  </si>
  <si>
    <t>Anhydrous (NH3)</t>
  </si>
  <si>
    <t>Chemicals</t>
  </si>
  <si>
    <t>Roundup</t>
  </si>
  <si>
    <t>Broad Leaf</t>
  </si>
  <si>
    <t>Insecticide</t>
  </si>
  <si>
    <t>Barley - Feed</t>
  </si>
  <si>
    <t>Chemical Application</t>
  </si>
  <si>
    <t>Aerial</t>
  </si>
  <si>
    <t>Sprayer</t>
  </si>
  <si>
    <t>With Other Application</t>
  </si>
  <si>
    <t xml:space="preserve">Quantity  </t>
  </si>
  <si>
    <t xml:space="preserve">Per Acre  </t>
  </si>
  <si>
    <t xml:space="preserve">Units  </t>
  </si>
  <si>
    <t xml:space="preserve">Price  </t>
  </si>
  <si>
    <t xml:space="preserve">Per Unit  </t>
  </si>
  <si>
    <t xml:space="preserve">Total  </t>
  </si>
  <si>
    <t xml:space="preserve">Revenues  </t>
  </si>
  <si>
    <t>Government Payments</t>
  </si>
  <si>
    <t>Chemicals - Herbicide</t>
  </si>
  <si>
    <t>Harvest</t>
  </si>
  <si>
    <t>Land</t>
  </si>
  <si>
    <t>Owned Land - Value</t>
  </si>
  <si>
    <t xml:space="preserve">   per acre</t>
  </si>
  <si>
    <t>Per Field</t>
  </si>
  <si>
    <t xml:space="preserve">PER ACRE  </t>
  </si>
  <si>
    <t>UNITS</t>
  </si>
  <si>
    <t xml:space="preserve">PRICE  </t>
  </si>
  <si>
    <t xml:space="preserve">PER UNIT  </t>
  </si>
  <si>
    <t xml:space="preserve">REVENUES  </t>
  </si>
  <si>
    <t>TOTAL REVENUES</t>
  </si>
  <si>
    <t>Irrigation Energy</t>
  </si>
  <si>
    <t>System Repairs/Maintenance</t>
  </si>
  <si>
    <t>acre</t>
  </si>
  <si>
    <t>Land Preparation (does not include mechanized weed control)</t>
  </si>
  <si>
    <t>Mechanized Weed Control</t>
  </si>
  <si>
    <t>Irrigation Labor</t>
  </si>
  <si>
    <t>Other Labor</t>
  </si>
  <si>
    <t>EXPENSES</t>
  </si>
  <si>
    <t>Total Pre-Harvest Expenses</t>
  </si>
  <si>
    <t>Custom Harvest</t>
  </si>
  <si>
    <t>Total Harvest Expenses</t>
  </si>
  <si>
    <t>TOTAL OPERATING EXPENSES</t>
  </si>
  <si>
    <t>RETURN TO MANAGEMENT &amp; RISK</t>
  </si>
  <si>
    <t>10% Higher</t>
  </si>
  <si>
    <t>25% Higher</t>
  </si>
  <si>
    <t>10% Lower</t>
  </si>
  <si>
    <t>25% Lower</t>
  </si>
  <si>
    <t>Actual Yield</t>
  </si>
  <si>
    <t xml:space="preserve">25% Lower  </t>
  </si>
  <si>
    <t xml:space="preserve">10% Lower  </t>
  </si>
  <si>
    <t xml:space="preserve">Actual Price  </t>
  </si>
  <si>
    <t xml:space="preserve">10% Higher  </t>
  </si>
  <si>
    <t xml:space="preserve">25% Higher  </t>
  </si>
  <si>
    <t>ESTIMATED PRODUCTION COSTS AND RETURNS</t>
  </si>
  <si>
    <t>Southern Colorado</t>
  </si>
  <si>
    <t>Share Rent</t>
  </si>
  <si>
    <t>Regions of State</t>
  </si>
  <si>
    <t>Northern Colorado</t>
  </si>
  <si>
    <t>Northeastern Colorado</t>
  </si>
  <si>
    <t>Eastern Colorado</t>
  </si>
  <si>
    <t>Southeastern Colorado</t>
  </si>
  <si>
    <t>San Luis Valley</t>
  </si>
  <si>
    <t>Southwestern Colorado</t>
  </si>
  <si>
    <t>Western Colorado</t>
  </si>
  <si>
    <t>Northwestern Colorado</t>
  </si>
  <si>
    <t>Fertilizer &amp; Application</t>
  </si>
  <si>
    <t>Herbicide &amp; Application</t>
  </si>
  <si>
    <t>Insecticide &amp; Application</t>
  </si>
  <si>
    <t>Harvesting</t>
  </si>
  <si>
    <t>Combine (per bushel)</t>
  </si>
  <si>
    <t>Combine (per acre)</t>
  </si>
  <si>
    <t>Turning</t>
  </si>
  <si>
    <t>Fertilizer Application</t>
  </si>
  <si>
    <t>Tillage</t>
  </si>
  <si>
    <t>Planter</t>
  </si>
  <si>
    <t>Drill</t>
  </si>
  <si>
    <t>Air Seeder</t>
  </si>
  <si>
    <t>Transplants</t>
  </si>
  <si>
    <t>Vertical Tillage Machine</t>
  </si>
  <si>
    <t>Strip Tillage Machine</t>
  </si>
  <si>
    <t>Year</t>
  </si>
  <si>
    <t>Return on Investment of Land</t>
  </si>
  <si>
    <t>Overhead/Depreciation/RE Taxes/Other Fixed Costs</t>
  </si>
  <si>
    <t>Overhead Costs</t>
  </si>
  <si>
    <t>Region</t>
  </si>
  <si>
    <t>Field Size (acres)</t>
  </si>
  <si>
    <t>Harvested Yield</t>
  </si>
  <si>
    <t>Yield Units</t>
  </si>
  <si>
    <t>Interest Rate</t>
  </si>
  <si>
    <t>Irrigated or Non-Irrigated Land</t>
  </si>
  <si>
    <t>Non-Irrigated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</si>
  <si>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</si>
  <si>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</si>
  <si>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</si>
  <si>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</si>
  <si>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</si>
  <si>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</si>
  <si>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</si>
  <si>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</si>
  <si>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</si>
  <si>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</si>
  <si>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</si>
  <si>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</si>
  <si>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</si>
  <si>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</si>
  <si>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2020 Crop Prices</t>
  </si>
  <si>
    <t xml:space="preserve">Corn  </t>
  </si>
  <si>
    <t xml:space="preserve">Wheat  </t>
  </si>
  <si>
    <t xml:space="preserve">Sunflower  </t>
  </si>
  <si>
    <t xml:space="preserve">Millet  </t>
  </si>
  <si>
    <t xml:space="preserve">Alfalfa  </t>
  </si>
  <si>
    <t xml:space="preserve">Other Hay  </t>
  </si>
  <si>
    <t xml:space="preserve">Soybeans  </t>
  </si>
  <si>
    <t xml:space="preserve">$/bu  </t>
  </si>
  <si>
    <t xml:space="preserve">$/ton  </t>
  </si>
  <si>
    <t xml:space="preserve">$/cwt  </t>
  </si>
  <si>
    <t>Overhead Costs ($/acre)</t>
  </si>
  <si>
    <t xml:space="preserve">Dryland  </t>
  </si>
  <si>
    <t xml:space="preserve">Orchard  </t>
  </si>
  <si>
    <t xml:space="preserve">Irrigated  </t>
  </si>
  <si>
    <t>Irrigated - Pivot</t>
  </si>
  <si>
    <t>Irrigated - Sprinkler</t>
  </si>
  <si>
    <t>Irrigation/Dryland</t>
  </si>
  <si>
    <t>Field</t>
  </si>
  <si>
    <t xml:space="preserve">Annual Cost  </t>
  </si>
  <si>
    <t>Sprinkler - Annual Payment</t>
  </si>
  <si>
    <t>Sprinkler - Rent or Lease Payment</t>
  </si>
  <si>
    <t>Total Hours</t>
  </si>
  <si>
    <t>Irrigated - Flood</t>
  </si>
  <si>
    <t>Establishment Costs (for non-annual crops, i.e. alfalfa)</t>
  </si>
  <si>
    <t>Estimated Years the Crop will be Harvested</t>
  </si>
  <si>
    <t>Establishment Costs</t>
  </si>
  <si>
    <t>Total</t>
  </si>
  <si>
    <t>Destroy Previous Crop</t>
  </si>
  <si>
    <t>Furrow</t>
  </si>
  <si>
    <t xml:space="preserve">Seed </t>
  </si>
  <si>
    <t>"Starter" Fertilizer</t>
  </si>
  <si>
    <t>Establishment Charges for Non-Annual Crops</t>
  </si>
  <si>
    <t xml:space="preserve">Rate  </t>
  </si>
  <si>
    <t xml:space="preserve">Per Hour  </t>
  </si>
  <si>
    <t>Crop Insurance</t>
  </si>
  <si>
    <t>NAP</t>
  </si>
  <si>
    <t>Revenue Protection</t>
  </si>
  <si>
    <t>Seed/ Transplants &amp; Planting</t>
  </si>
  <si>
    <t>Corn 3-Year Rotation</t>
  </si>
  <si>
    <t>Winter Wheat 3-Yr Rotation</t>
  </si>
  <si>
    <t>Winter Wheat Following Fallow</t>
  </si>
  <si>
    <t>Sunflowers, Oil</t>
  </si>
  <si>
    <t>Soybeans</t>
  </si>
  <si>
    <t>Platte Valley of Colorado</t>
  </si>
  <si>
    <t>Herbicide</t>
  </si>
  <si>
    <t>Fungicide</t>
  </si>
  <si>
    <t>Chemicals - Insecticides &amp; Fungicides</t>
  </si>
  <si>
    <t>Desicants</t>
  </si>
  <si>
    <t>Crop Consulting</t>
  </si>
  <si>
    <t>Cull Potatoes</t>
  </si>
  <si>
    <t>Storage</t>
  </si>
  <si>
    <t>CSU Agricultural and Business Management Economists - 
Jeffrey E. Tranel, Jenny Beiermann, and Brent Young</t>
  </si>
  <si>
    <t>QUANTITY</t>
  </si>
  <si>
    <t>PER ACRE</t>
  </si>
  <si>
    <t>Seed Potatoes</t>
  </si>
  <si>
    <t>Cash Rent</t>
  </si>
  <si>
    <t xml:space="preserve">  per acre</t>
  </si>
  <si>
    <t xml:space="preserve">Costs  </t>
  </si>
  <si>
    <t>Land Costs (if owned)</t>
  </si>
  <si>
    <t>Barley - Malting</t>
  </si>
  <si>
    <t>Culti-Packer</t>
  </si>
  <si>
    <t xml:space="preserve">  Management Charge</t>
  </si>
  <si>
    <t>Management Charge</t>
  </si>
  <si>
    <t>Through Sprinkler</t>
  </si>
  <si>
    <t>All Chemicals</t>
  </si>
  <si>
    <t>All Fertilizer</t>
  </si>
  <si>
    <t>Swath+Bale+Stack</t>
  </si>
  <si>
    <t>20 years @ 5%</t>
  </si>
  <si>
    <t>Combine (per cwt)</t>
  </si>
  <si>
    <t>Hail / Multi-Peril</t>
  </si>
  <si>
    <t>Subdistricts (if applicable)</t>
  </si>
  <si>
    <t>Water Rights/Ditch Fees/Assessments</t>
  </si>
  <si>
    <r>
      <t>SENSITIVITY ANALYSIS (</t>
    </r>
    <r>
      <rPr>
        <b/>
        <u/>
        <sz val="10"/>
        <color theme="1"/>
        <rFont val="Calibri"/>
        <family val="2"/>
      </rPr>
      <t>budgeted</t>
    </r>
    <r>
      <rPr>
        <b/>
        <sz val="10"/>
        <color theme="1"/>
        <rFont val="Calibri"/>
        <family val="2"/>
      </rPr>
      <t xml:space="preserve"> per acre returns over total costs)</t>
    </r>
  </si>
  <si>
    <t>Total Factor Payments</t>
  </si>
  <si>
    <t>Factor Payments</t>
  </si>
  <si>
    <t>TOTAL COSTS</t>
  </si>
  <si>
    <t>Operating (pre-harvest) Expenses</t>
  </si>
  <si>
    <t>Harvest Expenses</t>
  </si>
  <si>
    <t>Labor, Including Irrigation Labor</t>
  </si>
  <si>
    <t>SOURCE OF</t>
  </si>
  <si>
    <t>REVENUE</t>
  </si>
  <si>
    <t>Cover Crop - "Forage" Mix</t>
  </si>
  <si>
    <t>Interest on Operating Expenses  (</t>
  </si>
  <si>
    <t>"Feed" - Baled</t>
  </si>
  <si>
    <t>"Feed" - Windrowed</t>
  </si>
  <si>
    <t>n/a</t>
  </si>
  <si>
    <t xml:space="preserve"> 20 lbs/ac @ $4.50/lb</t>
  </si>
  <si>
    <t>100 lbs/acre @ $570/ton (0-0-60) = $28.50/acre</t>
  </si>
  <si>
    <t>150 lbs/acre @ $870/ton (11-52) = $65.11/acre +</t>
  </si>
  <si>
    <t>Alfalfa Hay</t>
  </si>
  <si>
    <t>Soil Sampling, Consulting, Scouting, etc.</t>
  </si>
  <si>
    <t>$9.25/ac to swath + $28.25 to rake/bale + $12.50 to stack</t>
  </si>
  <si>
    <t>$25.00 per bale (3x4x8, 1300 lbs)</t>
  </si>
  <si>
    <t>(5 tons @ 2000 lbs) / 1300 = bales/acre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</si>
</sst>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0_);[Red]\(0.00\)"/>
    <numFmt numFmtId="165" formatCode="#,##0.0_);[Red]\(#,##0.0\)"/>
    <numFmt numFmtId="166" formatCode="0.0000%"/>
    <numFmt numFmtId="191" formatCode="0.0000000000000000000000000E+00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i/>
      <sz val="8"/>
      <color theme="1"/>
      <name val="Calibri"/>
      <family val="2"/>
    </font>
    <font>
      <b/>
      <u/>
      <sz val="10"/>
      <color theme="1"/>
      <name val="Calibri"/>
      <family val="2"/>
    </font>
    <font>
      <sz val="8"/>
      <color theme="1"/>
      <name val="Calibri"/>
      <family val="2"/>
    </font>
    <font>
      <u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3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0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2" xfId="0" applyFont="1" applyBorder="1" applyAlignment="1">
      <alignment horizontal="left" vertical="center" indent="2"/>
    </xf>
    <xf numFmtId="0" fontId="6" fillId="0" borderId="2" xfId="0" applyFont="1" applyBorder="1" applyAlignment="1">
      <alignment vertical="center"/>
    </xf>
    <xf numFmtId="40" fontId="6" fillId="0" borderId="2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 indent="2"/>
    </xf>
    <xf numFmtId="40" fontId="6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1" fillId="1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1" fillId="1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9" borderId="0" xfId="0" applyFill="1" applyAlignment="1">
      <alignment vertical="center"/>
    </xf>
    <xf numFmtId="9" fontId="0" fillId="15" borderId="0" xfId="0" applyNumberFormat="1" applyFill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0" fillId="17" borderId="0" xfId="0" applyFill="1" applyAlignment="1">
      <alignment vertical="center"/>
    </xf>
    <xf numFmtId="0" fontId="1" fillId="14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horizontal="right" vertical="center"/>
    </xf>
    <xf numFmtId="40" fontId="0" fillId="3" borderId="0" xfId="0" applyNumberFormat="1" applyFill="1" applyAlignment="1">
      <alignment vertical="center"/>
    </xf>
    <xf numFmtId="0" fontId="0" fillId="3" borderId="18" xfId="0" applyFill="1" applyBorder="1" applyAlignment="1">
      <alignment vertical="center"/>
    </xf>
    <xf numFmtId="40" fontId="0" fillId="3" borderId="18" xfId="0" applyNumberFormat="1" applyFill="1" applyBorder="1" applyAlignment="1">
      <alignment vertical="center"/>
    </xf>
    <xf numFmtId="0" fontId="0" fillId="9" borderId="0" xfId="0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38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15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0" fontId="2" fillId="2" borderId="20" xfId="0" applyNumberFormat="1" applyFont="1" applyFill="1" applyBorder="1" applyAlignment="1" applyProtection="1">
      <alignment horizontal="center" vertical="center"/>
      <protection locked="0"/>
    </xf>
    <xf numFmtId="8" fontId="2" fillId="2" borderId="1" xfId="0" applyNumberFormat="1" applyFont="1" applyFill="1" applyBorder="1" applyAlignment="1" applyProtection="1">
      <alignment horizontal="center" vertical="center"/>
      <protection locked="0"/>
    </xf>
    <xf numFmtId="10" fontId="2" fillId="2" borderId="1" xfId="0" applyNumberFormat="1" applyFont="1" applyFill="1" applyBorder="1" applyAlignment="1" applyProtection="1">
      <alignment horizontal="center" vertical="center"/>
      <protection locked="0"/>
    </xf>
    <xf numFmtId="38" fontId="2" fillId="2" borderId="1" xfId="0" applyNumberFormat="1" applyFont="1" applyFill="1" applyBorder="1" applyAlignment="1" applyProtection="1">
      <alignment horizontal="center" vertical="center"/>
      <protection locked="0"/>
    </xf>
    <xf numFmtId="8" fontId="2" fillId="2" borderId="16" xfId="0" applyNumberFormat="1" applyFont="1" applyFill="1" applyBorder="1" applyAlignment="1" applyProtection="1">
      <alignment horizontal="right" vertical="center"/>
      <protection locked="0"/>
    </xf>
    <xf numFmtId="8" fontId="2" fillId="2" borderId="1" xfId="0" applyNumberFormat="1" applyFont="1" applyFill="1" applyBorder="1" applyAlignment="1" applyProtection="1">
      <alignment horizontal="right" vertical="center"/>
      <protection locked="0"/>
    </xf>
    <xf numFmtId="6" fontId="2" fillId="2" borderId="3" xfId="0" applyNumberFormat="1" applyFont="1" applyFill="1" applyBorder="1" applyAlignment="1" applyProtection="1">
      <alignment horizontal="right" vertical="center"/>
      <protection locked="0"/>
    </xf>
    <xf numFmtId="6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23" borderId="0" xfId="0" applyFont="1" applyFill="1" applyAlignment="1">
      <alignment vertical="center"/>
    </xf>
    <xf numFmtId="0" fontId="16" fillId="23" borderId="0" xfId="0" applyFont="1" applyFill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6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8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8" fontId="2" fillId="0" borderId="0" xfId="0" applyNumberFormat="1" applyFont="1" applyAlignment="1" applyProtection="1">
      <alignment horizontal="right" vertical="center"/>
      <protection locked="0"/>
    </xf>
    <xf numFmtId="40" fontId="8" fillId="0" borderId="0" xfId="0" applyNumberFormat="1" applyFont="1" applyAlignment="1" applyProtection="1">
      <alignment horizontal="center" vertical="center"/>
      <protection locked="0"/>
    </xf>
    <xf numFmtId="38" fontId="2" fillId="2" borderId="3" xfId="0" applyNumberFormat="1" applyFont="1" applyFill="1" applyBorder="1" applyAlignment="1" applyProtection="1">
      <alignment horizontal="center" vertical="center"/>
      <protection locked="0"/>
    </xf>
    <xf numFmtId="8" fontId="2" fillId="2" borderId="3" xfId="0" applyNumberFormat="1" applyFont="1" applyFill="1" applyBorder="1" applyAlignment="1" applyProtection="1">
      <alignment horizontal="right" vertical="center"/>
      <protection locked="0"/>
    </xf>
    <xf numFmtId="40" fontId="2" fillId="2" borderId="20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40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2" xfId="0" applyNumberFormat="1" applyFont="1" applyBorder="1" applyAlignment="1">
      <alignment horizontal="left" vertical="center"/>
    </xf>
    <xf numFmtId="40" fontId="12" fillId="0" borderId="0" xfId="0" applyNumberFormat="1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0" fontId="12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8" fontId="12" fillId="0" borderId="22" xfId="0" applyNumberFormat="1" applyFont="1" applyBorder="1" applyAlignment="1">
      <alignment horizontal="center" vertical="center"/>
    </xf>
    <xf numFmtId="8" fontId="12" fillId="0" borderId="2" xfId="0" applyNumberFormat="1" applyFont="1" applyBorder="1" applyAlignment="1">
      <alignment horizontal="center" vertical="center"/>
    </xf>
    <xf numFmtId="40" fontId="12" fillId="0" borderId="2" xfId="0" applyNumberFormat="1" applyFont="1" applyBorder="1" applyAlignment="1">
      <alignment horizontal="center" vertical="center"/>
    </xf>
    <xf numFmtId="8" fontId="12" fillId="0" borderId="21" xfId="0" applyNumberFormat="1" applyFont="1" applyBorder="1" applyAlignment="1">
      <alignment horizontal="center" vertical="center"/>
    </xf>
    <xf numFmtId="6" fontId="12" fillId="0" borderId="23" xfId="0" applyNumberFormat="1" applyFont="1" applyBorder="1" applyAlignment="1">
      <alignment horizontal="center" vertical="center"/>
    </xf>
    <xf numFmtId="6" fontId="12" fillId="0" borderId="24" xfId="0" applyNumberFormat="1" applyFont="1" applyBorder="1" applyAlignment="1">
      <alignment horizontal="center" vertical="center"/>
    </xf>
    <xf numFmtId="6" fontId="12" fillId="0" borderId="25" xfId="0" applyNumberFormat="1" applyFont="1" applyBorder="1" applyAlignment="1">
      <alignment horizontal="center" vertical="center"/>
    </xf>
    <xf numFmtId="6" fontId="12" fillId="0" borderId="26" xfId="0" applyNumberFormat="1" applyFont="1" applyBorder="1" applyAlignment="1">
      <alignment horizontal="center" vertical="center"/>
    </xf>
    <xf numFmtId="6" fontId="12" fillId="0" borderId="0" xfId="0" applyNumberFormat="1" applyFont="1" applyAlignment="1">
      <alignment horizontal="center" vertical="center"/>
    </xf>
    <xf numFmtId="6" fontId="12" fillId="0" borderId="17" xfId="0" applyNumberFormat="1" applyFont="1" applyBorder="1" applyAlignment="1">
      <alignment horizontal="center" vertical="center"/>
    </xf>
    <xf numFmtId="6" fontId="12" fillId="0" borderId="22" xfId="0" applyNumberFormat="1" applyFont="1" applyBorder="1" applyAlignment="1">
      <alignment horizontal="center" vertical="center"/>
    </xf>
    <xf numFmtId="6" fontId="12" fillId="0" borderId="2" xfId="0" applyNumberFormat="1" applyFont="1" applyBorder="1" applyAlignment="1">
      <alignment horizontal="center" vertical="center"/>
    </xf>
    <xf numFmtId="6" fontId="12" fillId="0" borderId="21" xfId="0" applyNumberFormat="1" applyFont="1" applyBorder="1" applyAlignment="1">
      <alignment horizontal="center" vertical="center"/>
    </xf>
    <xf numFmtId="40" fontId="12" fillId="24" borderId="24" xfId="0" applyNumberFormat="1" applyFont="1" applyFill="1" applyBorder="1" applyAlignment="1">
      <alignment horizontal="center" vertical="center"/>
    </xf>
    <xf numFmtId="8" fontId="12" fillId="24" borderId="2" xfId="0" applyNumberFormat="1" applyFont="1" applyFill="1" applyBorder="1" applyAlignment="1">
      <alignment horizontal="center" vertical="center"/>
    </xf>
    <xf numFmtId="6" fontId="12" fillId="24" borderId="24" xfId="0" applyNumberFormat="1" applyFont="1" applyFill="1" applyBorder="1" applyAlignment="1">
      <alignment horizontal="center" vertical="center"/>
    </xf>
    <xf numFmtId="6" fontId="12" fillId="24" borderId="0" xfId="0" applyNumberFormat="1" applyFont="1" applyFill="1" applyAlignment="1">
      <alignment horizontal="center" vertical="center"/>
    </xf>
    <xf numFmtId="6" fontId="12" fillId="24" borderId="2" xfId="0" applyNumberFormat="1" applyFont="1" applyFill="1" applyBorder="1" applyAlignment="1">
      <alignment horizontal="center" vertical="center"/>
    </xf>
    <xf numFmtId="0" fontId="12" fillId="24" borderId="0" xfId="0" applyFont="1" applyFill="1" applyAlignment="1">
      <alignment horizontal="right" vertical="center"/>
    </xf>
    <xf numFmtId="40" fontId="12" fillId="24" borderId="0" xfId="0" applyNumberFormat="1" applyFont="1" applyFill="1" applyAlignment="1">
      <alignment horizontal="center" vertical="center"/>
    </xf>
    <xf numFmtId="6" fontId="12" fillId="24" borderId="26" xfId="0" applyNumberFormat="1" applyFont="1" applyFill="1" applyBorder="1" applyAlignment="1">
      <alignment horizontal="center" vertical="center"/>
    </xf>
    <xf numFmtId="6" fontId="12" fillId="24" borderId="17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40" fontId="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6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2" fillId="21" borderId="15" xfId="0" applyFont="1" applyFill="1" applyBorder="1" applyAlignment="1" applyProtection="1">
      <alignment horizontal="center" vertical="center"/>
      <protection locked="0"/>
    </xf>
    <xf numFmtId="0" fontId="2" fillId="21" borderId="19" xfId="0" applyFont="1" applyFill="1" applyBorder="1" applyAlignment="1" applyProtection="1">
      <alignment horizontal="center" vertical="center"/>
      <protection locked="0"/>
    </xf>
    <xf numFmtId="0" fontId="2" fillId="21" borderId="1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4" borderId="22" xfId="0" applyFill="1" applyBorder="1" applyAlignment="1" applyProtection="1">
      <alignment horizontal="left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191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</xdr:colOff>
      <xdr:row>1</xdr:row>
      <xdr:rowOff>1</xdr:rowOff>
    </xdr:from>
    <xdr:to>
      <xdr:col>9</xdr:col>
      <xdr:colOff>6804</xdr:colOff>
      <xdr:row>1</xdr:row>
      <xdr:rowOff>698030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109" y="54430"/>
          <a:ext cx="4975534" cy="69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61"/>
  <sheetViews>
    <sheetView showGridLines="0" showRowColHeaders="0" zoomScale="150" zoomScaleNormal="150" workbookViewId="0">
      <selection activeCell="E2" sqref="E2"/>
    </sheetView>
  </sheetViews>
  <sheetFormatPr defaultColWidth="8.85546875" defaultRowHeight="15" customHeight="1" x14ac:dyDescent="0.25"/>
  <cols>
    <col min="1" max="1" width="4.7109375" style="1" customWidth="1"/>
    <col min="2" max="2" width="0.85546875" style="1" customWidth="1"/>
    <col min="3" max="3" width="4.7109375" style="1" customWidth="1"/>
    <col min="4" max="4" width="20.7109375" style="1" customWidth="1"/>
    <col min="5" max="7" width="10.7109375" style="1" customWidth="1"/>
    <col min="8" max="8" width="12.7109375" style="1" customWidth="1"/>
    <col min="9" max="9" width="0.85546875" style="1" customWidth="1"/>
    <col min="10" max="13" width="8.85546875" style="1"/>
    <col min="14" max="14" width="33.42578125" style="1" bestFit="1" customWidth="1"/>
    <col min="15" max="16384" width="8.85546875" style="1"/>
  </cols>
  <sheetData>
    <row r="2" spans="2:9" ht="15" customHeight="1" x14ac:dyDescent="0.25">
      <c r="E2" s="87">
        <v>2023</v>
      </c>
      <c r="F2" s="51" t="s">
        <v>138</v>
      </c>
    </row>
    <row r="3" spans="2:9" ht="15" customHeight="1" x14ac:dyDescent="0.25">
      <c r="C3" s="164" t="s">
        <v>119</v>
      </c>
      <c r="D3" s="165"/>
      <c r="E3" s="166"/>
      <c r="F3" s="51" t="s">
        <v>142</v>
      </c>
    </row>
    <row r="4" spans="2:9" ht="15" customHeight="1" x14ac:dyDescent="0.25">
      <c r="C4" s="175"/>
      <c r="D4" s="176"/>
      <c r="E4" s="120" t="s">
        <v>249</v>
      </c>
      <c r="F4" s="51" t="s">
        <v>234</v>
      </c>
    </row>
    <row r="5" spans="2:9" ht="15" customHeight="1" x14ac:dyDescent="0.25">
      <c r="E5" s="91">
        <v>120</v>
      </c>
      <c r="F5" s="51" t="s">
        <v>143</v>
      </c>
    </row>
    <row r="6" spans="2:9" ht="15" customHeight="1" x14ac:dyDescent="0.25">
      <c r="C6" s="164" t="s">
        <v>253</v>
      </c>
      <c r="D6" s="165"/>
      <c r="E6" s="166"/>
      <c r="F6" s="51" t="s">
        <v>17</v>
      </c>
    </row>
    <row r="7" spans="2:9" ht="15" customHeight="1" x14ac:dyDescent="0.25">
      <c r="C7" s="27"/>
      <c r="D7" s="27"/>
      <c r="E7" s="117">
        <v>5</v>
      </c>
      <c r="F7" s="51" t="s">
        <v>144</v>
      </c>
    </row>
    <row r="8" spans="2:9" ht="15" customHeight="1" x14ac:dyDescent="0.25">
      <c r="C8" s="164" t="s">
        <v>23</v>
      </c>
      <c r="D8" s="165"/>
      <c r="E8" s="166"/>
      <c r="F8" s="51" t="s">
        <v>145</v>
      </c>
    </row>
    <row r="9" spans="2:9" ht="15" customHeight="1" x14ac:dyDescent="0.25">
      <c r="E9" s="88">
        <v>0.09</v>
      </c>
      <c r="F9" s="51" t="s">
        <v>146</v>
      </c>
    </row>
    <row r="10" spans="2:9" ht="15" customHeight="1" x14ac:dyDescent="0.25">
      <c r="C10" s="164" t="s">
        <v>178</v>
      </c>
      <c r="D10" s="165"/>
      <c r="E10" s="166"/>
      <c r="F10" s="51" t="s">
        <v>147</v>
      </c>
    </row>
    <row r="11" spans="2:9" ht="15" customHeight="1" x14ac:dyDescent="0.25">
      <c r="D11" s="2"/>
      <c r="E11" s="109">
        <v>300</v>
      </c>
      <c r="F11" s="51" t="s">
        <v>141</v>
      </c>
    </row>
    <row r="12" spans="2:9" ht="15" customHeight="1" x14ac:dyDescent="0.25">
      <c r="D12" s="2"/>
      <c r="E12" s="109">
        <v>0</v>
      </c>
      <c r="F12" s="21" t="s">
        <v>225</v>
      </c>
    </row>
    <row r="13" spans="2:9" ht="15" customHeight="1" x14ac:dyDescent="0.25">
      <c r="D13" s="2"/>
    </row>
    <row r="14" spans="2:9" ht="15" customHeight="1" thickBot="1" x14ac:dyDescent="0.3">
      <c r="C14" s="174" t="s">
        <v>78</v>
      </c>
      <c r="D14" s="174"/>
    </row>
    <row r="15" spans="2:9" ht="4.9000000000000004" customHeight="1" x14ac:dyDescent="0.25">
      <c r="B15" s="7"/>
      <c r="C15" s="23"/>
      <c r="D15" s="23"/>
      <c r="E15" s="8"/>
      <c r="F15" s="8"/>
      <c r="G15" s="8"/>
      <c r="H15" s="8"/>
      <c r="I15" s="9"/>
    </row>
    <row r="16" spans="2:9" ht="15" customHeight="1" x14ac:dyDescent="0.25">
      <c r="B16" s="10"/>
      <c r="C16" s="1" t="s">
        <v>79</v>
      </c>
      <c r="D16" s="2"/>
      <c r="F16" s="109">
        <v>0</v>
      </c>
      <c r="G16" s="24" t="s">
        <v>80</v>
      </c>
      <c r="I16" s="11"/>
    </row>
    <row r="17" spans="2:9" ht="15" customHeight="1" x14ac:dyDescent="0.25">
      <c r="B17" s="10"/>
      <c r="C17" s="1" t="s">
        <v>139</v>
      </c>
      <c r="D17" s="2"/>
      <c r="F17" s="90">
        <v>0</v>
      </c>
      <c r="G17" s="24"/>
      <c r="I17" s="11"/>
    </row>
    <row r="18" spans="2:9" ht="15" customHeight="1" x14ac:dyDescent="0.25">
      <c r="B18" s="10"/>
      <c r="D18" s="2"/>
      <c r="G18" s="24"/>
      <c r="I18" s="11"/>
    </row>
    <row r="19" spans="2:9" ht="15" customHeight="1" x14ac:dyDescent="0.25">
      <c r="B19" s="10"/>
      <c r="C19" s="158" t="s">
        <v>219</v>
      </c>
      <c r="D19" s="158"/>
      <c r="F19" s="89">
        <v>200</v>
      </c>
      <c r="G19" s="108" t="s">
        <v>220</v>
      </c>
      <c r="I19" s="11"/>
    </row>
    <row r="20" spans="2:9" ht="4.9000000000000004" customHeight="1" thickBot="1" x14ac:dyDescent="0.3">
      <c r="B20" s="13"/>
      <c r="C20" s="4"/>
      <c r="D20" s="6"/>
      <c r="E20" s="4"/>
      <c r="F20" s="4"/>
      <c r="G20" s="4"/>
      <c r="H20" s="4"/>
      <c r="I20" s="14"/>
    </row>
    <row r="21" spans="2:9" ht="15" customHeight="1" thickBot="1" x14ac:dyDescent="0.3">
      <c r="D21" s="2"/>
    </row>
    <row r="22" spans="2:9" ht="15" customHeight="1" thickBot="1" x14ac:dyDescent="0.3">
      <c r="B22" s="167" t="s">
        <v>0</v>
      </c>
      <c r="C22" s="168"/>
      <c r="D22" s="169"/>
    </row>
    <row r="23" spans="2:9" ht="15" customHeight="1" x14ac:dyDescent="0.25">
      <c r="B23" s="7"/>
      <c r="C23" s="8"/>
      <c r="D23" s="8"/>
      <c r="E23" s="19" t="s">
        <v>68</v>
      </c>
      <c r="F23" s="19"/>
      <c r="G23" s="15" t="s">
        <v>71</v>
      </c>
      <c r="H23" s="15" t="s">
        <v>74</v>
      </c>
      <c r="I23" s="9"/>
    </row>
    <row r="24" spans="2:9" ht="15" customHeight="1" x14ac:dyDescent="0.25">
      <c r="B24" s="10"/>
      <c r="C24" s="3"/>
      <c r="D24" s="3"/>
      <c r="E24" s="22" t="s">
        <v>69</v>
      </c>
      <c r="F24" s="20" t="s">
        <v>70</v>
      </c>
      <c r="G24" s="18" t="s">
        <v>72</v>
      </c>
      <c r="H24" s="18" t="s">
        <v>69</v>
      </c>
      <c r="I24" s="11"/>
    </row>
    <row r="25" spans="2:9" ht="15" customHeight="1" x14ac:dyDescent="0.25">
      <c r="B25" s="10"/>
      <c r="C25" s="170" t="str">
        <f>C6</f>
        <v>Alfalfa Hay</v>
      </c>
      <c r="D25" s="171"/>
      <c r="E25" s="118">
        <v>3.5</v>
      </c>
      <c r="F25" s="82" t="str">
        <f>C8</f>
        <v>tons</v>
      </c>
      <c r="G25" s="92">
        <v>250</v>
      </c>
      <c r="H25" s="12">
        <f>E25*G25</f>
        <v>875</v>
      </c>
      <c r="I25" s="11"/>
    </row>
    <row r="26" spans="2:9" ht="15" customHeight="1" x14ac:dyDescent="0.25">
      <c r="B26" s="10"/>
      <c r="C26" s="172" t="s">
        <v>8</v>
      </c>
      <c r="D26" s="173"/>
      <c r="E26" s="119">
        <v>1.5</v>
      </c>
      <c r="F26" s="96" t="s">
        <v>23</v>
      </c>
      <c r="G26" s="92">
        <v>200</v>
      </c>
      <c r="H26" s="12">
        <f t="shared" ref="H26:H27" si="0">E26*G26</f>
        <v>300</v>
      </c>
      <c r="I26" s="11"/>
    </row>
    <row r="27" spans="2:9" ht="15" customHeight="1" x14ac:dyDescent="0.25">
      <c r="B27" s="10"/>
      <c r="C27" s="172" t="s">
        <v>17</v>
      </c>
      <c r="D27" s="173"/>
      <c r="E27" s="91">
        <v>0</v>
      </c>
      <c r="F27" s="96" t="s">
        <v>22</v>
      </c>
      <c r="G27" s="92">
        <v>0</v>
      </c>
      <c r="H27" s="12">
        <f t="shared" si="0"/>
        <v>0</v>
      </c>
      <c r="I27" s="11"/>
    </row>
    <row r="28" spans="2:9" ht="15" customHeight="1" x14ac:dyDescent="0.25">
      <c r="B28" s="10"/>
      <c r="C28" s="158" t="s">
        <v>75</v>
      </c>
      <c r="D28" s="158"/>
      <c r="E28" s="26"/>
      <c r="F28" s="27" t="s">
        <v>181</v>
      </c>
      <c r="G28" s="93">
        <v>0</v>
      </c>
      <c r="H28" s="12">
        <f>G28/E5</f>
        <v>0</v>
      </c>
      <c r="I28" s="11"/>
    </row>
    <row r="29" spans="2:9" ht="4.9000000000000004" customHeight="1" thickBot="1" x14ac:dyDescent="0.3">
      <c r="B29" s="13"/>
      <c r="C29" s="4"/>
      <c r="D29" s="4"/>
      <c r="E29" s="5"/>
      <c r="F29" s="5"/>
      <c r="G29" s="4"/>
      <c r="H29" s="4"/>
      <c r="I29" s="14"/>
    </row>
    <row r="31" spans="2:9" ht="15" customHeight="1" thickBot="1" x14ac:dyDescent="0.3">
      <c r="C31" s="17" t="s">
        <v>187</v>
      </c>
    </row>
    <row r="32" spans="2:9" ht="15" customHeight="1" x14ac:dyDescent="0.25">
      <c r="B32" s="7"/>
      <c r="C32" s="8"/>
      <c r="D32" s="8"/>
      <c r="E32" s="19" t="s">
        <v>68</v>
      </c>
      <c r="F32" s="19"/>
      <c r="G32" s="15" t="s">
        <v>71</v>
      </c>
      <c r="H32" s="15" t="s">
        <v>221</v>
      </c>
      <c r="I32" s="9"/>
    </row>
    <row r="33" spans="2:10" ht="15" customHeight="1" x14ac:dyDescent="0.25">
      <c r="B33" s="10"/>
      <c r="C33" s="3"/>
      <c r="D33" s="3"/>
      <c r="E33" s="20" t="s">
        <v>69</v>
      </c>
      <c r="F33" s="20" t="s">
        <v>70</v>
      </c>
      <c r="G33" s="18" t="s">
        <v>72</v>
      </c>
      <c r="H33" s="18" t="s">
        <v>69</v>
      </c>
      <c r="I33" s="11"/>
    </row>
    <row r="34" spans="2:10" ht="15" customHeight="1" x14ac:dyDescent="0.25">
      <c r="B34" s="10"/>
      <c r="C34" s="159" t="s">
        <v>31</v>
      </c>
      <c r="D34" s="160"/>
      <c r="E34" s="91">
        <v>1</v>
      </c>
      <c r="F34" s="83" t="s">
        <v>90</v>
      </c>
      <c r="G34" s="93">
        <v>25</v>
      </c>
      <c r="H34" s="12">
        <f t="shared" ref="H34:H42" si="1">E34*G34</f>
        <v>25</v>
      </c>
      <c r="I34" s="11"/>
    </row>
    <row r="35" spans="2:10" ht="15" customHeight="1" x14ac:dyDescent="0.25">
      <c r="B35" s="10"/>
      <c r="C35" s="159" t="s">
        <v>28</v>
      </c>
      <c r="D35" s="160"/>
      <c r="E35" s="91">
        <v>2</v>
      </c>
      <c r="F35" s="83" t="s">
        <v>90</v>
      </c>
      <c r="G35" s="93">
        <v>20</v>
      </c>
      <c r="H35" s="12">
        <f t="shared" si="1"/>
        <v>40</v>
      </c>
      <c r="I35" s="11"/>
    </row>
    <row r="36" spans="2:10" ht="15" customHeight="1" x14ac:dyDescent="0.25">
      <c r="B36" s="10"/>
      <c r="C36" s="159" t="s">
        <v>37</v>
      </c>
      <c r="D36" s="160"/>
      <c r="E36" s="91">
        <v>1</v>
      </c>
      <c r="F36" s="83" t="s">
        <v>90</v>
      </c>
      <c r="G36" s="93">
        <v>20</v>
      </c>
      <c r="H36" s="12">
        <f t="shared" si="1"/>
        <v>20</v>
      </c>
      <c r="I36" s="11"/>
    </row>
    <row r="37" spans="2:10" ht="15" customHeight="1" x14ac:dyDescent="0.25">
      <c r="B37" s="10"/>
      <c r="C37" s="159" t="s">
        <v>131</v>
      </c>
      <c r="D37" s="160"/>
      <c r="E37" s="91">
        <v>0</v>
      </c>
      <c r="F37" s="83" t="s">
        <v>90</v>
      </c>
      <c r="G37" s="93">
        <v>0</v>
      </c>
      <c r="H37" s="12">
        <f t="shared" si="1"/>
        <v>0</v>
      </c>
      <c r="I37" s="11"/>
    </row>
    <row r="38" spans="2:10" ht="15" customHeight="1" x14ac:dyDescent="0.25">
      <c r="B38" s="10"/>
      <c r="C38" s="159" t="s">
        <v>131</v>
      </c>
      <c r="D38" s="160"/>
      <c r="E38" s="91">
        <v>0</v>
      </c>
      <c r="F38" s="83" t="s">
        <v>90</v>
      </c>
      <c r="G38" s="93">
        <v>0</v>
      </c>
      <c r="H38" s="12">
        <f t="shared" ref="H38:H40" si="2">E38*G38</f>
        <v>0</v>
      </c>
      <c r="I38" s="11"/>
    </row>
    <row r="39" spans="2:10" ht="15" customHeight="1" x14ac:dyDescent="0.25">
      <c r="B39" s="10"/>
      <c r="C39" s="159" t="s">
        <v>131</v>
      </c>
      <c r="D39" s="160"/>
      <c r="E39" s="91">
        <v>0</v>
      </c>
      <c r="F39" s="83" t="s">
        <v>90</v>
      </c>
      <c r="G39" s="93">
        <v>0</v>
      </c>
      <c r="H39" s="12">
        <f t="shared" si="2"/>
        <v>0</v>
      </c>
      <c r="I39" s="11"/>
    </row>
    <row r="40" spans="2:10" ht="15" customHeight="1" x14ac:dyDescent="0.25">
      <c r="B40" s="10"/>
      <c r="C40" s="159" t="s">
        <v>131</v>
      </c>
      <c r="D40" s="160"/>
      <c r="E40" s="91">
        <v>0</v>
      </c>
      <c r="F40" s="83" t="s">
        <v>90</v>
      </c>
      <c r="G40" s="93">
        <v>0</v>
      </c>
      <c r="H40" s="12">
        <f t="shared" si="2"/>
        <v>0</v>
      </c>
      <c r="I40" s="11"/>
    </row>
    <row r="41" spans="2:10" ht="15" customHeight="1" x14ac:dyDescent="0.25">
      <c r="B41" s="10"/>
      <c r="C41" s="159" t="s">
        <v>131</v>
      </c>
      <c r="D41" s="160"/>
      <c r="E41" s="91">
        <v>0</v>
      </c>
      <c r="F41" s="83" t="s">
        <v>90</v>
      </c>
      <c r="G41" s="93">
        <v>0</v>
      </c>
      <c r="H41" s="12">
        <f t="shared" ref="H41" si="3">E41*G41</f>
        <v>0</v>
      </c>
      <c r="I41" s="11"/>
    </row>
    <row r="42" spans="2:10" ht="15" customHeight="1" x14ac:dyDescent="0.25">
      <c r="B42" s="10"/>
      <c r="C42" s="161" t="s">
        <v>193</v>
      </c>
      <c r="D42" s="161"/>
      <c r="E42" s="27">
        <v>1</v>
      </c>
      <c r="F42" s="27" t="s">
        <v>90</v>
      </c>
      <c r="G42" s="93">
        <v>90</v>
      </c>
      <c r="H42" s="12">
        <f t="shared" si="1"/>
        <v>90</v>
      </c>
      <c r="I42" s="11"/>
      <c r="J42" s="1" t="s">
        <v>250</v>
      </c>
    </row>
    <row r="43" spans="2:10" ht="15" customHeight="1" x14ac:dyDescent="0.25">
      <c r="B43" s="10"/>
      <c r="C43" s="158" t="s">
        <v>194</v>
      </c>
      <c r="D43" s="158"/>
      <c r="E43" s="27">
        <v>1</v>
      </c>
      <c r="F43" s="27" t="s">
        <v>90</v>
      </c>
      <c r="G43" s="93">
        <v>70</v>
      </c>
      <c r="H43" s="12">
        <f t="shared" ref="H43" si="4">E43*G43</f>
        <v>70</v>
      </c>
      <c r="I43" s="11"/>
    </row>
    <row r="44" spans="2:10" ht="15" customHeight="1" x14ac:dyDescent="0.25">
      <c r="B44" s="10"/>
      <c r="C44" s="158" t="s">
        <v>47</v>
      </c>
      <c r="D44" s="158"/>
      <c r="E44" s="27">
        <v>1</v>
      </c>
      <c r="F44" s="27" t="s">
        <v>90</v>
      </c>
      <c r="G44" s="93">
        <v>18</v>
      </c>
      <c r="H44" s="12">
        <f t="shared" ref="H44" si="5">E44*G44</f>
        <v>18</v>
      </c>
      <c r="I44" s="11"/>
    </row>
    <row r="45" spans="2:10" ht="15" customHeight="1" x14ac:dyDescent="0.25">
      <c r="B45" s="10"/>
      <c r="C45" s="21" t="s">
        <v>188</v>
      </c>
      <c r="D45" s="21"/>
      <c r="E45" s="21"/>
      <c r="F45" s="21"/>
      <c r="G45" s="91">
        <v>6</v>
      </c>
      <c r="I45" s="11"/>
    </row>
    <row r="46" spans="2:10" ht="4.9000000000000004" customHeight="1" thickBot="1" x14ac:dyDescent="0.3">
      <c r="B46" s="13"/>
      <c r="C46" s="4"/>
      <c r="D46" s="4"/>
      <c r="E46" s="4"/>
      <c r="F46" s="4"/>
      <c r="G46" s="4"/>
      <c r="H46" s="4"/>
      <c r="I46" s="14"/>
    </row>
    <row r="48" spans="2:10" ht="15" customHeight="1" thickBot="1" x14ac:dyDescent="0.3">
      <c r="C48" s="17" t="s">
        <v>91</v>
      </c>
    </row>
    <row r="49" spans="2:9" ht="15" customHeight="1" x14ac:dyDescent="0.25">
      <c r="B49" s="7"/>
      <c r="C49" s="8"/>
      <c r="D49" s="8"/>
      <c r="E49" s="19" t="s">
        <v>68</v>
      </c>
      <c r="F49" s="19"/>
      <c r="G49" s="15" t="s">
        <v>71</v>
      </c>
      <c r="H49" s="15" t="s">
        <v>221</v>
      </c>
      <c r="I49" s="9"/>
    </row>
    <row r="50" spans="2:9" ht="15" customHeight="1" x14ac:dyDescent="0.25">
      <c r="B50" s="10"/>
      <c r="C50" s="3"/>
      <c r="D50" s="3"/>
      <c r="E50" s="20" t="s">
        <v>69</v>
      </c>
      <c r="F50" s="20" t="s">
        <v>70</v>
      </c>
      <c r="G50" s="18" t="s">
        <v>72</v>
      </c>
      <c r="H50" s="18" t="s">
        <v>69</v>
      </c>
      <c r="I50" s="11"/>
    </row>
    <row r="51" spans="2:9" ht="15" customHeight="1" x14ac:dyDescent="0.25">
      <c r="B51" s="10"/>
      <c r="C51" s="159" t="s">
        <v>131</v>
      </c>
      <c r="D51" s="160"/>
      <c r="E51" s="91">
        <v>0</v>
      </c>
      <c r="F51" s="83" t="s">
        <v>90</v>
      </c>
      <c r="G51" s="93">
        <v>0</v>
      </c>
      <c r="H51" s="12">
        <f t="shared" ref="H51:H55" si="6">E51*G51</f>
        <v>0</v>
      </c>
      <c r="I51" s="11"/>
    </row>
    <row r="52" spans="2:9" ht="15" customHeight="1" x14ac:dyDescent="0.25">
      <c r="B52" s="10"/>
      <c r="C52" s="159" t="s">
        <v>131</v>
      </c>
      <c r="D52" s="160"/>
      <c r="E52" s="91">
        <v>0</v>
      </c>
      <c r="F52" s="83" t="s">
        <v>90</v>
      </c>
      <c r="G52" s="93">
        <v>0</v>
      </c>
      <c r="H52" s="12">
        <f t="shared" si="6"/>
        <v>0</v>
      </c>
      <c r="I52" s="11"/>
    </row>
    <row r="53" spans="2:9" ht="15" customHeight="1" x14ac:dyDescent="0.25">
      <c r="B53" s="10"/>
      <c r="C53" s="159" t="s">
        <v>131</v>
      </c>
      <c r="D53" s="160"/>
      <c r="E53" s="91">
        <v>0</v>
      </c>
      <c r="F53" s="83" t="s">
        <v>90</v>
      </c>
      <c r="G53" s="93">
        <v>0</v>
      </c>
      <c r="H53" s="12">
        <f t="shared" si="6"/>
        <v>0</v>
      </c>
      <c r="I53" s="11"/>
    </row>
    <row r="54" spans="2:9" ht="15" customHeight="1" x14ac:dyDescent="0.25">
      <c r="B54" s="10"/>
      <c r="C54" s="159" t="s">
        <v>131</v>
      </c>
      <c r="D54" s="160"/>
      <c r="E54" s="91">
        <v>0</v>
      </c>
      <c r="F54" s="83" t="s">
        <v>90</v>
      </c>
      <c r="G54" s="93">
        <v>0</v>
      </c>
      <c r="H54" s="12">
        <f t="shared" si="6"/>
        <v>0</v>
      </c>
      <c r="I54" s="11"/>
    </row>
    <row r="55" spans="2:9" ht="15" customHeight="1" x14ac:dyDescent="0.25">
      <c r="B55" s="10"/>
      <c r="C55" s="159" t="s">
        <v>131</v>
      </c>
      <c r="D55" s="160"/>
      <c r="E55" s="91">
        <v>0</v>
      </c>
      <c r="F55" s="83" t="s">
        <v>90</v>
      </c>
      <c r="G55" s="93">
        <v>0</v>
      </c>
      <c r="H55" s="12">
        <f t="shared" si="6"/>
        <v>0</v>
      </c>
      <c r="I55" s="11"/>
    </row>
    <row r="56" spans="2:9" ht="4.9000000000000004" customHeight="1" thickBot="1" x14ac:dyDescent="0.3">
      <c r="B56" s="13"/>
      <c r="C56" s="4"/>
      <c r="D56" s="4"/>
      <c r="E56" s="4"/>
      <c r="F56" s="4"/>
      <c r="G56" s="4"/>
      <c r="H56" s="4"/>
      <c r="I56" s="14"/>
    </row>
    <row r="58" spans="2:9" ht="15" customHeight="1" thickBot="1" x14ac:dyDescent="0.3">
      <c r="C58" s="17" t="s">
        <v>47</v>
      </c>
    </row>
    <row r="59" spans="2:9" ht="15" customHeight="1" x14ac:dyDescent="0.25">
      <c r="B59" s="7"/>
      <c r="C59" s="8"/>
      <c r="D59" s="8"/>
      <c r="E59" s="19" t="s">
        <v>68</v>
      </c>
      <c r="F59" s="19"/>
      <c r="G59" s="15" t="s">
        <v>71</v>
      </c>
      <c r="H59" s="15" t="s">
        <v>221</v>
      </c>
      <c r="I59" s="9"/>
    </row>
    <row r="60" spans="2:9" ht="15" customHeight="1" x14ac:dyDescent="0.25">
      <c r="B60" s="10"/>
      <c r="C60" s="3"/>
      <c r="D60" s="3"/>
      <c r="E60" s="20" t="s">
        <v>69</v>
      </c>
      <c r="F60" s="20" t="s">
        <v>70</v>
      </c>
      <c r="G60" s="18" t="s">
        <v>72</v>
      </c>
      <c r="H60" s="18" t="s">
        <v>69</v>
      </c>
      <c r="I60" s="11"/>
    </row>
    <row r="61" spans="2:9" ht="15" customHeight="1" x14ac:dyDescent="0.25">
      <c r="B61" s="10"/>
      <c r="C61" s="159" t="s">
        <v>48</v>
      </c>
      <c r="D61" s="160"/>
      <c r="E61" s="91">
        <v>0</v>
      </c>
      <c r="F61" s="96" t="s">
        <v>48</v>
      </c>
      <c r="G61" s="93">
        <v>0</v>
      </c>
      <c r="H61" s="12">
        <f t="shared" ref="H61:H64" si="7">E61*G61</f>
        <v>0</v>
      </c>
      <c r="I61" s="11"/>
    </row>
    <row r="62" spans="2:9" ht="15" customHeight="1" x14ac:dyDescent="0.25">
      <c r="B62" s="10"/>
      <c r="C62" s="21"/>
      <c r="D62" s="97" t="s">
        <v>133</v>
      </c>
      <c r="E62" s="91">
        <v>0</v>
      </c>
      <c r="F62" s="28" t="s">
        <v>4</v>
      </c>
      <c r="G62" s="93">
        <v>0</v>
      </c>
      <c r="H62" s="12">
        <f t="shared" si="7"/>
        <v>0</v>
      </c>
      <c r="I62" s="11"/>
    </row>
    <row r="63" spans="2:9" ht="15" customHeight="1" x14ac:dyDescent="0.25">
      <c r="B63" s="10"/>
      <c r="C63" s="159" t="s">
        <v>48</v>
      </c>
      <c r="D63" s="160"/>
      <c r="E63" s="91">
        <v>0</v>
      </c>
      <c r="F63" s="96" t="s">
        <v>22</v>
      </c>
      <c r="G63" s="93">
        <v>0</v>
      </c>
      <c r="H63" s="12">
        <f t="shared" si="7"/>
        <v>0</v>
      </c>
      <c r="I63" s="11"/>
    </row>
    <row r="64" spans="2:9" ht="15" customHeight="1" x14ac:dyDescent="0.25">
      <c r="B64" s="10"/>
      <c r="C64" s="21"/>
      <c r="D64" s="97" t="s">
        <v>132</v>
      </c>
      <c r="E64" s="91">
        <v>0</v>
      </c>
      <c r="F64" s="28" t="s">
        <v>4</v>
      </c>
      <c r="G64" s="93">
        <v>0</v>
      </c>
      <c r="H64" s="12">
        <f t="shared" si="7"/>
        <v>0</v>
      </c>
      <c r="I64" s="11"/>
    </row>
    <row r="65" spans="2:12" ht="4.9000000000000004" customHeight="1" thickBot="1" x14ac:dyDescent="0.3">
      <c r="B65" s="13"/>
      <c r="C65" s="4"/>
      <c r="D65" s="4"/>
      <c r="E65" s="4"/>
      <c r="F65" s="4"/>
      <c r="G65" s="4"/>
      <c r="H65" s="4"/>
      <c r="I65" s="14"/>
    </row>
    <row r="67" spans="2:12" ht="15" customHeight="1" thickBot="1" x14ac:dyDescent="0.3">
      <c r="C67" s="17" t="s">
        <v>92</v>
      </c>
    </row>
    <row r="68" spans="2:12" ht="15" customHeight="1" x14ac:dyDescent="0.25">
      <c r="B68" s="7"/>
      <c r="C68" s="8"/>
      <c r="D68" s="8"/>
      <c r="E68" s="19" t="s">
        <v>68</v>
      </c>
      <c r="F68" s="19"/>
      <c r="G68" s="15" t="s">
        <v>71</v>
      </c>
      <c r="H68" s="15" t="s">
        <v>221</v>
      </c>
      <c r="I68" s="9"/>
    </row>
    <row r="69" spans="2:12" ht="15" customHeight="1" x14ac:dyDescent="0.25">
      <c r="B69" s="10"/>
      <c r="C69" s="3"/>
      <c r="D69" s="3"/>
      <c r="E69" s="20" t="s">
        <v>69</v>
      </c>
      <c r="F69" s="20" t="s">
        <v>70</v>
      </c>
      <c r="G69" s="18" t="s">
        <v>72</v>
      </c>
      <c r="H69" s="18" t="s">
        <v>69</v>
      </c>
      <c r="I69" s="11"/>
    </row>
    <row r="70" spans="2:12" ht="15" customHeight="1" x14ac:dyDescent="0.25">
      <c r="B70" s="10"/>
      <c r="C70" s="159" t="s">
        <v>224</v>
      </c>
      <c r="D70" s="160"/>
      <c r="E70" s="91">
        <v>1</v>
      </c>
      <c r="F70" s="28" t="s">
        <v>4</v>
      </c>
      <c r="G70" s="93">
        <v>15</v>
      </c>
      <c r="H70" s="12">
        <f t="shared" ref="H70:H74" si="8">E70*G70</f>
        <v>15</v>
      </c>
      <c r="I70" s="11"/>
    </row>
    <row r="71" spans="2:12" ht="15" customHeight="1" x14ac:dyDescent="0.25">
      <c r="B71" s="10"/>
      <c r="C71" s="159" t="s">
        <v>131</v>
      </c>
      <c r="D71" s="160"/>
      <c r="E71" s="91">
        <v>0</v>
      </c>
      <c r="F71" s="28" t="s">
        <v>4</v>
      </c>
      <c r="G71" s="93">
        <v>0</v>
      </c>
      <c r="H71" s="12">
        <f t="shared" si="8"/>
        <v>0</v>
      </c>
      <c r="I71" s="11"/>
    </row>
    <row r="72" spans="2:12" ht="15" customHeight="1" x14ac:dyDescent="0.25">
      <c r="B72" s="10"/>
      <c r="C72" s="159" t="s">
        <v>131</v>
      </c>
      <c r="D72" s="160"/>
      <c r="E72" s="91">
        <v>0</v>
      </c>
      <c r="F72" s="28" t="s">
        <v>4</v>
      </c>
      <c r="G72" s="93">
        <v>0</v>
      </c>
      <c r="H72" s="12">
        <f t="shared" si="8"/>
        <v>0</v>
      </c>
      <c r="I72" s="11"/>
    </row>
    <row r="73" spans="2:12" ht="15" customHeight="1" x14ac:dyDescent="0.25">
      <c r="B73" s="10"/>
      <c r="C73" s="159" t="s">
        <v>131</v>
      </c>
      <c r="D73" s="160"/>
      <c r="E73" s="91">
        <v>0</v>
      </c>
      <c r="F73" s="28" t="s">
        <v>4</v>
      </c>
      <c r="G73" s="93">
        <v>0</v>
      </c>
      <c r="H73" s="12">
        <f t="shared" si="8"/>
        <v>0</v>
      </c>
      <c r="I73" s="11"/>
    </row>
    <row r="74" spans="2:12" ht="15" customHeight="1" x14ac:dyDescent="0.25">
      <c r="B74" s="10"/>
      <c r="C74" s="159" t="s">
        <v>131</v>
      </c>
      <c r="D74" s="160"/>
      <c r="E74" s="91">
        <v>0</v>
      </c>
      <c r="F74" s="28" t="s">
        <v>4</v>
      </c>
      <c r="G74" s="93">
        <v>0</v>
      </c>
      <c r="H74" s="12">
        <f t="shared" si="8"/>
        <v>0</v>
      </c>
      <c r="I74" s="11"/>
    </row>
    <row r="75" spans="2:12" ht="4.9000000000000004" customHeight="1" thickBot="1" x14ac:dyDescent="0.3">
      <c r="B75" s="13"/>
      <c r="C75" s="4"/>
      <c r="D75" s="4"/>
      <c r="E75" s="4"/>
      <c r="F75" s="4"/>
      <c r="G75" s="4"/>
      <c r="H75" s="4"/>
      <c r="I75" s="14"/>
    </row>
    <row r="77" spans="2:12" ht="15" customHeight="1" thickBot="1" x14ac:dyDescent="0.3">
      <c r="C77" s="17" t="s">
        <v>49</v>
      </c>
    </row>
    <row r="78" spans="2:12" ht="15" customHeight="1" x14ac:dyDescent="0.25">
      <c r="B78" s="7"/>
      <c r="C78" s="8"/>
      <c r="D78" s="8"/>
      <c r="E78" s="8"/>
      <c r="F78" s="8"/>
      <c r="G78" s="15" t="s">
        <v>73</v>
      </c>
      <c r="H78" s="15" t="s">
        <v>221</v>
      </c>
      <c r="I78" s="9"/>
    </row>
    <row r="79" spans="2:12" ht="15" customHeight="1" x14ac:dyDescent="0.25">
      <c r="B79" s="10"/>
      <c r="C79" s="3"/>
      <c r="D79" s="3"/>
      <c r="E79" s="3"/>
      <c r="F79" s="3"/>
      <c r="G79" s="18" t="s">
        <v>182</v>
      </c>
      <c r="H79" s="18" t="s">
        <v>69</v>
      </c>
      <c r="I79" s="11"/>
    </row>
    <row r="80" spans="2:12" ht="15" customHeight="1" x14ac:dyDescent="0.25">
      <c r="B80" s="10"/>
      <c r="C80" s="1" t="s">
        <v>183</v>
      </c>
      <c r="G80" s="94">
        <v>7300</v>
      </c>
      <c r="H80" s="12">
        <f t="shared" ref="H80:H85" si="9">G80/$E$5</f>
        <v>60.833333333333336</v>
      </c>
      <c r="I80" s="11"/>
      <c r="J80" s="149" t="s">
        <v>231</v>
      </c>
      <c r="K80" s="84"/>
      <c r="L80" s="84"/>
    </row>
    <row r="81" spans="2:14" ht="15" customHeight="1" x14ac:dyDescent="0.25">
      <c r="B81" s="10"/>
      <c r="C81" s="1" t="s">
        <v>184</v>
      </c>
      <c r="G81" s="94">
        <v>0</v>
      </c>
      <c r="H81" s="12">
        <f t="shared" si="9"/>
        <v>0</v>
      </c>
      <c r="I81" s="11"/>
      <c r="K81" s="84"/>
      <c r="L81" s="84"/>
    </row>
    <row r="82" spans="2:14" ht="15" customHeight="1" x14ac:dyDescent="0.25">
      <c r="B82" s="10"/>
      <c r="C82" s="1" t="s">
        <v>88</v>
      </c>
      <c r="G82" s="95">
        <v>13000</v>
      </c>
      <c r="H82" s="12">
        <f t="shared" si="9"/>
        <v>108.33333333333333</v>
      </c>
      <c r="I82" s="11"/>
    </row>
    <row r="83" spans="2:14" ht="15" customHeight="1" x14ac:dyDescent="0.25">
      <c r="B83" s="10"/>
      <c r="C83" s="1" t="s">
        <v>89</v>
      </c>
      <c r="G83" s="95">
        <v>3000</v>
      </c>
      <c r="H83" s="12">
        <f t="shared" si="9"/>
        <v>25</v>
      </c>
      <c r="I83" s="11"/>
    </row>
    <row r="84" spans="2:14" ht="15" customHeight="1" x14ac:dyDescent="0.25">
      <c r="B84" s="10"/>
      <c r="C84" s="1" t="s">
        <v>235</v>
      </c>
      <c r="G84" s="95">
        <v>2000</v>
      </c>
      <c r="H84" s="12">
        <f t="shared" si="9"/>
        <v>16.666666666666668</v>
      </c>
      <c r="I84" s="11"/>
    </row>
    <row r="85" spans="2:14" ht="15" customHeight="1" x14ac:dyDescent="0.25">
      <c r="B85" s="10"/>
      <c r="C85" s="1" t="s">
        <v>51</v>
      </c>
      <c r="G85" s="95">
        <v>5000</v>
      </c>
      <c r="H85" s="12">
        <f t="shared" si="9"/>
        <v>41.666666666666664</v>
      </c>
      <c r="I85" s="11"/>
      <c r="J85" s="180"/>
      <c r="K85" s="181"/>
      <c r="L85" s="181"/>
      <c r="M85" s="181"/>
      <c r="N85" s="181"/>
    </row>
    <row r="86" spans="2:14" ht="15" customHeight="1" x14ac:dyDescent="0.25">
      <c r="B86" s="10"/>
      <c r="H86" s="12"/>
      <c r="I86" s="11"/>
      <c r="J86" s="180"/>
      <c r="K86" s="181"/>
      <c r="L86" s="181"/>
      <c r="M86" s="181"/>
      <c r="N86" s="181"/>
    </row>
    <row r="87" spans="2:14" ht="15" customHeight="1" x14ac:dyDescent="0.25">
      <c r="B87" s="10"/>
      <c r="C87" s="1" t="s">
        <v>52</v>
      </c>
      <c r="G87" s="91">
        <v>24</v>
      </c>
      <c r="I87" s="11"/>
      <c r="J87" s="180"/>
      <c r="K87" s="181"/>
      <c r="L87" s="181"/>
      <c r="M87" s="181"/>
      <c r="N87" s="181"/>
    </row>
    <row r="88" spans="2:14" ht="4.9000000000000004" customHeight="1" thickBot="1" x14ac:dyDescent="0.3">
      <c r="B88" s="13"/>
      <c r="C88" s="4"/>
      <c r="D88" s="4"/>
      <c r="E88" s="4"/>
      <c r="F88" s="4"/>
      <c r="G88" s="4"/>
      <c r="H88" s="4"/>
      <c r="I88" s="14"/>
    </row>
    <row r="89" spans="2:14" ht="15" customHeight="1" x14ac:dyDescent="0.25">
      <c r="C89" s="24"/>
    </row>
    <row r="91" spans="2:14" ht="15" customHeight="1" thickBot="1" x14ac:dyDescent="0.3">
      <c r="C91" s="17" t="s">
        <v>53</v>
      </c>
    </row>
    <row r="92" spans="2:14" ht="15" customHeight="1" x14ac:dyDescent="0.25">
      <c r="B92" s="7"/>
      <c r="C92" s="8"/>
      <c r="D92" s="8"/>
      <c r="E92" s="15" t="s">
        <v>68</v>
      </c>
      <c r="F92" s="15"/>
      <c r="G92" s="15" t="s">
        <v>71</v>
      </c>
      <c r="H92" s="15" t="s">
        <v>221</v>
      </c>
      <c r="I92" s="9"/>
    </row>
    <row r="93" spans="2:14" ht="15" customHeight="1" x14ac:dyDescent="0.25">
      <c r="B93" s="10"/>
      <c r="E93" s="16" t="s">
        <v>69</v>
      </c>
      <c r="F93" s="22" t="s">
        <v>70</v>
      </c>
      <c r="G93" s="16" t="s">
        <v>72</v>
      </c>
      <c r="H93" s="18" t="s">
        <v>69</v>
      </c>
      <c r="I93" s="11"/>
    </row>
    <row r="94" spans="2:14" ht="15" customHeight="1" x14ac:dyDescent="0.25">
      <c r="B94" s="10"/>
      <c r="C94" s="159" t="s">
        <v>56</v>
      </c>
      <c r="D94" s="160"/>
      <c r="E94" s="91">
        <v>1</v>
      </c>
      <c r="F94" s="28" t="s">
        <v>4</v>
      </c>
      <c r="G94" s="93">
        <f>65.11+28.5</f>
        <v>93.61</v>
      </c>
      <c r="H94" s="12">
        <f t="shared" ref="H94:H101" si="10">E94*G94</f>
        <v>93.61</v>
      </c>
      <c r="I94" s="11"/>
      <c r="J94" s="1" t="s">
        <v>252</v>
      </c>
    </row>
    <row r="95" spans="2:14" ht="15" customHeight="1" x14ac:dyDescent="0.25">
      <c r="B95" s="10"/>
      <c r="D95" s="98" t="s">
        <v>66</v>
      </c>
      <c r="E95" s="91">
        <v>1</v>
      </c>
      <c r="F95" s="28" t="s">
        <v>4</v>
      </c>
      <c r="G95" s="93">
        <v>12</v>
      </c>
      <c r="H95" s="12">
        <f t="shared" si="10"/>
        <v>12</v>
      </c>
      <c r="I95" s="11"/>
      <c r="J95" s="1" t="s">
        <v>251</v>
      </c>
    </row>
    <row r="96" spans="2:14" ht="15" customHeight="1" x14ac:dyDescent="0.25">
      <c r="B96" s="10"/>
      <c r="C96" s="159" t="s">
        <v>53</v>
      </c>
      <c r="D96" s="160"/>
      <c r="E96" s="91">
        <v>0</v>
      </c>
      <c r="F96" s="28" t="s">
        <v>4</v>
      </c>
      <c r="G96" s="93">
        <v>0</v>
      </c>
      <c r="H96" s="12">
        <f t="shared" si="10"/>
        <v>0</v>
      </c>
      <c r="I96" s="11"/>
    </row>
    <row r="97" spans="2:9" ht="15" customHeight="1" x14ac:dyDescent="0.25">
      <c r="B97" s="10"/>
      <c r="D97" s="98" t="s">
        <v>130</v>
      </c>
      <c r="E97" s="91">
        <v>0</v>
      </c>
      <c r="F97" s="28" t="s">
        <v>4</v>
      </c>
      <c r="G97" s="93">
        <v>0</v>
      </c>
      <c r="H97" s="12">
        <f t="shared" si="10"/>
        <v>0</v>
      </c>
      <c r="I97" s="11"/>
    </row>
    <row r="98" spans="2:9" ht="15" customHeight="1" x14ac:dyDescent="0.25">
      <c r="B98" s="10"/>
      <c r="C98" s="159" t="s">
        <v>53</v>
      </c>
      <c r="D98" s="160"/>
      <c r="E98" s="91">
        <v>0</v>
      </c>
      <c r="F98" s="28" t="s">
        <v>4</v>
      </c>
      <c r="G98" s="93">
        <v>0</v>
      </c>
      <c r="H98" s="12">
        <f t="shared" ref="H98:H99" si="11">E98*G98</f>
        <v>0</v>
      </c>
      <c r="I98" s="11"/>
    </row>
    <row r="99" spans="2:9" ht="15" customHeight="1" x14ac:dyDescent="0.25">
      <c r="B99" s="10"/>
      <c r="D99" s="98" t="s">
        <v>130</v>
      </c>
      <c r="E99" s="91">
        <v>0</v>
      </c>
      <c r="F99" s="28" t="s">
        <v>4</v>
      </c>
      <c r="G99" s="93">
        <v>0</v>
      </c>
      <c r="H99" s="12">
        <f t="shared" si="11"/>
        <v>0</v>
      </c>
      <c r="I99" s="11"/>
    </row>
    <row r="100" spans="2:9" ht="15" customHeight="1" x14ac:dyDescent="0.25">
      <c r="B100" s="10"/>
      <c r="C100" s="159" t="s">
        <v>53</v>
      </c>
      <c r="D100" s="160"/>
      <c r="E100" s="91">
        <v>0</v>
      </c>
      <c r="F100" s="28" t="s">
        <v>4</v>
      </c>
      <c r="G100" s="93">
        <v>0</v>
      </c>
      <c r="H100" s="12">
        <f t="shared" si="10"/>
        <v>0</v>
      </c>
      <c r="I100" s="11"/>
    </row>
    <row r="101" spans="2:9" ht="15" customHeight="1" x14ac:dyDescent="0.25">
      <c r="B101" s="10"/>
      <c r="D101" s="98" t="s">
        <v>130</v>
      </c>
      <c r="E101" s="91">
        <v>0</v>
      </c>
      <c r="F101" s="28" t="s">
        <v>4</v>
      </c>
      <c r="G101" s="93">
        <v>0</v>
      </c>
      <c r="H101" s="12">
        <f t="shared" si="10"/>
        <v>0</v>
      </c>
      <c r="I101" s="11"/>
    </row>
    <row r="102" spans="2:9" ht="4.9000000000000004" customHeight="1" thickBot="1" x14ac:dyDescent="0.3">
      <c r="B102" s="13"/>
      <c r="C102" s="4"/>
      <c r="D102" s="4"/>
      <c r="E102" s="4"/>
      <c r="F102" s="4"/>
      <c r="G102" s="4"/>
      <c r="H102" s="4"/>
      <c r="I102" s="14"/>
    </row>
    <row r="104" spans="2:9" ht="15" customHeight="1" thickBot="1" x14ac:dyDescent="0.3">
      <c r="C104" s="17" t="s">
        <v>76</v>
      </c>
    </row>
    <row r="105" spans="2:9" ht="15" customHeight="1" x14ac:dyDescent="0.25">
      <c r="B105" s="7"/>
      <c r="C105" s="8"/>
      <c r="D105" s="8"/>
      <c r="E105" s="15" t="s">
        <v>68</v>
      </c>
      <c r="F105" s="15"/>
      <c r="G105" s="15" t="s">
        <v>71</v>
      </c>
      <c r="H105" s="15" t="s">
        <v>221</v>
      </c>
      <c r="I105" s="9"/>
    </row>
    <row r="106" spans="2:9" ht="15" customHeight="1" x14ac:dyDescent="0.25">
      <c r="B106" s="10"/>
      <c r="E106" s="16" t="s">
        <v>69</v>
      </c>
      <c r="F106" s="22" t="s">
        <v>70</v>
      </c>
      <c r="G106" s="16" t="s">
        <v>72</v>
      </c>
      <c r="H106" s="18" t="s">
        <v>69</v>
      </c>
      <c r="I106" s="11"/>
    </row>
    <row r="107" spans="2:9" ht="15" customHeight="1" x14ac:dyDescent="0.25">
      <c r="B107" s="10"/>
      <c r="C107" s="159" t="s">
        <v>59</v>
      </c>
      <c r="D107" s="160"/>
      <c r="E107" s="91">
        <v>0</v>
      </c>
      <c r="F107" s="28" t="s">
        <v>4</v>
      </c>
      <c r="G107" s="93">
        <v>0</v>
      </c>
      <c r="H107" s="12">
        <f t="shared" ref="H107:H114" si="12">E107*G107</f>
        <v>0</v>
      </c>
      <c r="I107" s="11"/>
    </row>
    <row r="108" spans="2:9" ht="15" customHeight="1" x14ac:dyDescent="0.25">
      <c r="B108" s="10"/>
      <c r="D108" s="98" t="s">
        <v>66</v>
      </c>
      <c r="E108" s="91">
        <v>0</v>
      </c>
      <c r="F108" s="28" t="s">
        <v>4</v>
      </c>
      <c r="G108" s="93">
        <v>0</v>
      </c>
      <c r="H108" s="12">
        <f t="shared" si="12"/>
        <v>0</v>
      </c>
      <c r="I108" s="11"/>
    </row>
    <row r="109" spans="2:9" ht="15" customHeight="1" x14ac:dyDescent="0.25">
      <c r="B109" s="10"/>
      <c r="C109" s="159" t="s">
        <v>59</v>
      </c>
      <c r="D109" s="160"/>
      <c r="E109" s="91">
        <v>0</v>
      </c>
      <c r="F109" s="28" t="s">
        <v>4</v>
      </c>
      <c r="G109" s="93">
        <v>0</v>
      </c>
      <c r="H109" s="12">
        <f t="shared" si="12"/>
        <v>0</v>
      </c>
      <c r="I109" s="11"/>
    </row>
    <row r="110" spans="2:9" ht="15" customHeight="1" x14ac:dyDescent="0.25">
      <c r="B110" s="10"/>
      <c r="D110" s="98" t="s">
        <v>64</v>
      </c>
      <c r="E110" s="91">
        <v>0</v>
      </c>
      <c r="F110" s="28" t="s">
        <v>4</v>
      </c>
      <c r="G110" s="93">
        <v>0</v>
      </c>
      <c r="H110" s="12">
        <f t="shared" si="12"/>
        <v>0</v>
      </c>
      <c r="I110" s="11"/>
    </row>
    <row r="111" spans="2:9" ht="15" customHeight="1" x14ac:dyDescent="0.25">
      <c r="B111" s="10"/>
      <c r="C111" s="159" t="s">
        <v>59</v>
      </c>
      <c r="D111" s="160"/>
      <c r="E111" s="91">
        <v>0</v>
      </c>
      <c r="F111" s="28" t="s">
        <v>4</v>
      </c>
      <c r="G111" s="93">
        <v>0</v>
      </c>
      <c r="H111" s="12">
        <f t="shared" si="12"/>
        <v>0</v>
      </c>
      <c r="I111" s="11"/>
    </row>
    <row r="112" spans="2:9" ht="15" customHeight="1" x14ac:dyDescent="0.25">
      <c r="B112" s="10"/>
      <c r="D112" s="98" t="s">
        <v>64</v>
      </c>
      <c r="E112" s="91">
        <v>0</v>
      </c>
      <c r="F112" s="28" t="s">
        <v>4</v>
      </c>
      <c r="G112" s="93">
        <v>0</v>
      </c>
      <c r="H112" s="12">
        <f t="shared" si="12"/>
        <v>0</v>
      </c>
      <c r="I112" s="11"/>
    </row>
    <row r="113" spans="2:9" ht="15" customHeight="1" x14ac:dyDescent="0.25">
      <c r="B113" s="10"/>
      <c r="C113" s="159" t="s">
        <v>59</v>
      </c>
      <c r="D113" s="160"/>
      <c r="E113" s="91">
        <v>0</v>
      </c>
      <c r="F113" s="28" t="s">
        <v>4</v>
      </c>
      <c r="G113" s="93">
        <v>0</v>
      </c>
      <c r="H113" s="12">
        <f t="shared" si="12"/>
        <v>0</v>
      </c>
      <c r="I113" s="11"/>
    </row>
    <row r="114" spans="2:9" ht="15" customHeight="1" x14ac:dyDescent="0.25">
      <c r="B114" s="10"/>
      <c r="D114" s="98" t="s">
        <v>64</v>
      </c>
      <c r="E114" s="91">
        <v>0</v>
      </c>
      <c r="F114" s="28" t="s">
        <v>4</v>
      </c>
      <c r="G114" s="93">
        <v>0</v>
      </c>
      <c r="H114" s="12">
        <f t="shared" si="12"/>
        <v>0</v>
      </c>
      <c r="I114" s="11"/>
    </row>
    <row r="115" spans="2:9" ht="4.9000000000000004" customHeight="1" thickBot="1" x14ac:dyDescent="0.3">
      <c r="B115" s="13"/>
      <c r="C115" s="4"/>
      <c r="D115" s="4"/>
      <c r="E115" s="4"/>
      <c r="F115" s="4"/>
      <c r="G115" s="4"/>
      <c r="H115" s="4"/>
      <c r="I115" s="14"/>
    </row>
    <row r="117" spans="2:9" ht="15" customHeight="1" thickBot="1" x14ac:dyDescent="0.3">
      <c r="C117" s="17" t="s">
        <v>210</v>
      </c>
    </row>
    <row r="118" spans="2:9" ht="15" customHeight="1" x14ac:dyDescent="0.25">
      <c r="B118" s="7"/>
      <c r="C118" s="8"/>
      <c r="D118" s="8"/>
      <c r="E118" s="15" t="s">
        <v>68</v>
      </c>
      <c r="F118" s="15"/>
      <c r="G118" s="15" t="s">
        <v>71</v>
      </c>
      <c r="H118" s="15" t="s">
        <v>221</v>
      </c>
      <c r="I118" s="9"/>
    </row>
    <row r="119" spans="2:9" ht="15" customHeight="1" x14ac:dyDescent="0.25">
      <c r="B119" s="10"/>
      <c r="E119" s="16" t="s">
        <v>69</v>
      </c>
      <c r="F119" s="22" t="s">
        <v>70</v>
      </c>
      <c r="G119" s="16" t="s">
        <v>72</v>
      </c>
      <c r="H119" s="18" t="s">
        <v>69</v>
      </c>
      <c r="I119" s="11"/>
    </row>
    <row r="120" spans="2:9" ht="15" customHeight="1" x14ac:dyDescent="0.25">
      <c r="B120" s="10"/>
      <c r="C120" s="162" t="s">
        <v>59</v>
      </c>
      <c r="D120" s="163"/>
      <c r="E120" s="91">
        <v>0</v>
      </c>
      <c r="F120" s="28" t="s">
        <v>4</v>
      </c>
      <c r="G120" s="93">
        <v>0</v>
      </c>
      <c r="H120" s="12">
        <f t="shared" ref="H120:H129" si="13">E120*G120</f>
        <v>0</v>
      </c>
      <c r="I120" s="11"/>
    </row>
    <row r="121" spans="2:9" ht="15" customHeight="1" x14ac:dyDescent="0.25">
      <c r="B121" s="10"/>
      <c r="D121" s="98" t="s">
        <v>64</v>
      </c>
      <c r="E121" s="91">
        <v>0</v>
      </c>
      <c r="F121" s="28" t="s">
        <v>4</v>
      </c>
      <c r="G121" s="93">
        <v>0</v>
      </c>
      <c r="H121" s="12">
        <f t="shared" si="13"/>
        <v>0</v>
      </c>
      <c r="I121" s="11"/>
    </row>
    <row r="122" spans="2:9" ht="15" customHeight="1" x14ac:dyDescent="0.25">
      <c r="B122" s="10"/>
      <c r="C122" s="162" t="s">
        <v>59</v>
      </c>
      <c r="D122" s="163"/>
      <c r="E122" s="91">
        <v>0</v>
      </c>
      <c r="F122" s="28" t="s">
        <v>4</v>
      </c>
      <c r="G122" s="93">
        <v>0</v>
      </c>
      <c r="H122" s="12">
        <f t="shared" si="13"/>
        <v>0</v>
      </c>
      <c r="I122" s="11"/>
    </row>
    <row r="123" spans="2:9" ht="15" customHeight="1" x14ac:dyDescent="0.25">
      <c r="B123" s="10"/>
      <c r="D123" s="98" t="s">
        <v>64</v>
      </c>
      <c r="E123" s="91">
        <v>0</v>
      </c>
      <c r="F123" s="28" t="s">
        <v>4</v>
      </c>
      <c r="G123" s="93">
        <v>0</v>
      </c>
      <c r="H123" s="12">
        <f t="shared" si="13"/>
        <v>0</v>
      </c>
      <c r="I123" s="11"/>
    </row>
    <row r="124" spans="2:9" ht="15" customHeight="1" x14ac:dyDescent="0.25">
      <c r="B124" s="10"/>
      <c r="C124" s="162" t="s">
        <v>59</v>
      </c>
      <c r="D124" s="163"/>
      <c r="E124" s="91">
        <v>0</v>
      </c>
      <c r="F124" s="28" t="s">
        <v>4</v>
      </c>
      <c r="G124" s="93">
        <v>0</v>
      </c>
      <c r="H124" s="12">
        <f t="shared" si="13"/>
        <v>0</v>
      </c>
      <c r="I124" s="11"/>
    </row>
    <row r="125" spans="2:9" ht="15" customHeight="1" x14ac:dyDescent="0.25">
      <c r="B125" s="10"/>
      <c r="D125" s="98" t="s">
        <v>64</v>
      </c>
      <c r="E125" s="91">
        <v>0</v>
      </c>
      <c r="F125" s="28" t="s">
        <v>4</v>
      </c>
      <c r="G125" s="93">
        <v>0</v>
      </c>
      <c r="H125" s="12">
        <f t="shared" si="13"/>
        <v>0</v>
      </c>
      <c r="I125" s="11"/>
    </row>
    <row r="126" spans="2:9" ht="15" customHeight="1" x14ac:dyDescent="0.25">
      <c r="B126" s="10"/>
      <c r="C126" s="162" t="s">
        <v>59</v>
      </c>
      <c r="D126" s="163"/>
      <c r="E126" s="91">
        <v>0</v>
      </c>
      <c r="F126" s="28" t="s">
        <v>4</v>
      </c>
      <c r="G126" s="93">
        <v>0</v>
      </c>
      <c r="H126" s="12">
        <f t="shared" si="13"/>
        <v>0</v>
      </c>
      <c r="I126" s="11"/>
    </row>
    <row r="127" spans="2:9" ht="15" customHeight="1" x14ac:dyDescent="0.25">
      <c r="B127" s="10"/>
      <c r="D127" s="98" t="s">
        <v>64</v>
      </c>
      <c r="E127" s="91">
        <v>0</v>
      </c>
      <c r="F127" s="28" t="s">
        <v>4</v>
      </c>
      <c r="G127" s="93">
        <v>0</v>
      </c>
      <c r="H127" s="12">
        <f t="shared" si="13"/>
        <v>0</v>
      </c>
      <c r="I127" s="11"/>
    </row>
    <row r="128" spans="2:9" ht="15" customHeight="1" x14ac:dyDescent="0.25">
      <c r="B128" s="10"/>
      <c r="C128" s="162" t="s">
        <v>59</v>
      </c>
      <c r="D128" s="163"/>
      <c r="E128" s="91">
        <v>0</v>
      </c>
      <c r="F128" s="28" t="s">
        <v>4</v>
      </c>
      <c r="G128" s="93">
        <v>0</v>
      </c>
      <c r="H128" s="12">
        <f t="shared" si="13"/>
        <v>0</v>
      </c>
      <c r="I128" s="11"/>
    </row>
    <row r="129" spans="2:14" ht="15" customHeight="1" x14ac:dyDescent="0.25">
      <c r="B129" s="10"/>
      <c r="D129" s="98" t="s">
        <v>64</v>
      </c>
      <c r="E129" s="91">
        <v>0</v>
      </c>
      <c r="F129" s="28" t="s">
        <v>4</v>
      </c>
      <c r="G129" s="93">
        <v>0</v>
      </c>
      <c r="H129" s="12">
        <f t="shared" si="13"/>
        <v>0</v>
      </c>
      <c r="I129" s="11"/>
    </row>
    <row r="130" spans="2:14" ht="4.9000000000000004" customHeight="1" thickBot="1" x14ac:dyDescent="0.3">
      <c r="B130" s="13"/>
      <c r="C130" s="4"/>
      <c r="D130" s="4"/>
      <c r="E130" s="4"/>
      <c r="F130" s="4"/>
      <c r="G130" s="4"/>
      <c r="H130" s="4"/>
      <c r="I130" s="14"/>
    </row>
    <row r="131" spans="2:14" ht="15" customHeight="1" x14ac:dyDescent="0.25">
      <c r="C131" s="24"/>
    </row>
    <row r="133" spans="2:14" ht="15" customHeight="1" thickBot="1" x14ac:dyDescent="0.3">
      <c r="C133" s="17" t="s">
        <v>77</v>
      </c>
    </row>
    <row r="134" spans="2:14" ht="15" customHeight="1" x14ac:dyDescent="0.25">
      <c r="B134" s="7"/>
      <c r="C134" s="8"/>
      <c r="D134" s="8"/>
      <c r="E134" s="15" t="s">
        <v>68</v>
      </c>
      <c r="F134" s="15"/>
      <c r="G134" s="15" t="s">
        <v>71</v>
      </c>
      <c r="H134" s="15" t="s">
        <v>221</v>
      </c>
      <c r="I134" s="9"/>
    </row>
    <row r="135" spans="2:14" ht="15" customHeight="1" x14ac:dyDescent="0.25">
      <c r="B135" s="10"/>
      <c r="E135" s="16" t="s">
        <v>69</v>
      </c>
      <c r="F135" s="22" t="s">
        <v>70</v>
      </c>
      <c r="G135" s="16" t="s">
        <v>72</v>
      </c>
      <c r="H135" s="18" t="s">
        <v>69</v>
      </c>
      <c r="I135" s="11"/>
    </row>
    <row r="136" spans="2:14" ht="15" customHeight="1" x14ac:dyDescent="0.25">
      <c r="B136" s="10"/>
      <c r="C136" s="179" t="s">
        <v>230</v>
      </c>
      <c r="D136" s="179"/>
      <c r="E136" s="119">
        <v>7.69</v>
      </c>
      <c r="F136" s="99" t="s">
        <v>27</v>
      </c>
      <c r="G136" s="93">
        <v>25</v>
      </c>
      <c r="H136" s="12">
        <f>E136*G136</f>
        <v>192.25</v>
      </c>
      <c r="I136" s="11"/>
      <c r="J136" s="149" t="s">
        <v>255</v>
      </c>
    </row>
    <row r="137" spans="2:14" ht="15" customHeight="1" x14ac:dyDescent="0.25">
      <c r="B137" s="10"/>
      <c r="C137" s="179" t="s">
        <v>126</v>
      </c>
      <c r="D137" s="179"/>
      <c r="E137" s="119">
        <v>0</v>
      </c>
      <c r="F137" s="99" t="s">
        <v>23</v>
      </c>
      <c r="G137" s="93">
        <v>0</v>
      </c>
      <c r="H137" s="12">
        <f>E137*G137</f>
        <v>0</v>
      </c>
      <c r="I137" s="11"/>
      <c r="J137" s="149" t="s">
        <v>256</v>
      </c>
    </row>
    <row r="138" spans="2:14" ht="15" customHeight="1" x14ac:dyDescent="0.25">
      <c r="B138" s="10"/>
      <c r="C138" s="179" t="s">
        <v>126</v>
      </c>
      <c r="D138" s="179"/>
      <c r="E138" s="91">
        <v>0</v>
      </c>
      <c r="F138" s="99" t="s">
        <v>23</v>
      </c>
      <c r="G138" s="93">
        <v>0</v>
      </c>
      <c r="H138" s="12">
        <f t="shared" ref="H138:H139" si="14">E138*G138</f>
        <v>0</v>
      </c>
      <c r="I138" s="11"/>
      <c r="J138" s="149" t="s">
        <v>257</v>
      </c>
    </row>
    <row r="139" spans="2:14" ht="15" customHeight="1" x14ac:dyDescent="0.25">
      <c r="B139" s="10"/>
      <c r="C139" s="179" t="s">
        <v>126</v>
      </c>
      <c r="D139" s="179"/>
      <c r="E139" s="91">
        <v>0</v>
      </c>
      <c r="F139" s="99" t="s">
        <v>22</v>
      </c>
      <c r="G139" s="93">
        <v>0</v>
      </c>
      <c r="H139" s="12">
        <f t="shared" si="14"/>
        <v>0</v>
      </c>
      <c r="I139" s="11"/>
    </row>
    <row r="140" spans="2:14" ht="15" customHeight="1" x14ac:dyDescent="0.25">
      <c r="B140" s="10"/>
      <c r="C140" s="179" t="s">
        <v>126</v>
      </c>
      <c r="D140" s="179"/>
      <c r="E140" s="91">
        <v>0</v>
      </c>
      <c r="F140" s="99" t="s">
        <v>22</v>
      </c>
      <c r="G140" s="93">
        <v>0</v>
      </c>
      <c r="H140" s="12">
        <f>E140*G140</f>
        <v>0</v>
      </c>
      <c r="I140" s="11"/>
    </row>
    <row r="141" spans="2:14" ht="15" customHeight="1" x14ac:dyDescent="0.25">
      <c r="B141" s="10"/>
      <c r="C141" s="110"/>
      <c r="D141" s="110"/>
      <c r="E141" s="111"/>
      <c r="F141" s="112"/>
      <c r="G141" s="113"/>
      <c r="H141" s="12"/>
      <c r="I141" s="11"/>
    </row>
    <row r="142" spans="2:14" ht="15" customHeight="1" x14ac:dyDescent="0.25">
      <c r="B142" s="10"/>
      <c r="C142" s="178" t="s">
        <v>214</v>
      </c>
      <c r="D142" s="178"/>
      <c r="E142" s="91">
        <v>0</v>
      </c>
      <c r="F142" s="99" t="s">
        <v>24</v>
      </c>
      <c r="G142" s="93">
        <v>0</v>
      </c>
      <c r="H142" s="12">
        <f>E142*G142</f>
        <v>0</v>
      </c>
      <c r="I142" s="11"/>
    </row>
    <row r="143" spans="2:14" ht="15" customHeight="1" x14ac:dyDescent="0.25">
      <c r="B143" s="10"/>
      <c r="C143" s="158" t="s">
        <v>45</v>
      </c>
      <c r="D143" s="158"/>
      <c r="E143" s="114">
        <v>0</v>
      </c>
      <c r="F143" s="99" t="s">
        <v>24</v>
      </c>
      <c r="G143" s="93">
        <v>0</v>
      </c>
      <c r="H143" s="12">
        <f t="shared" ref="H143" si="15">E143*G143</f>
        <v>0</v>
      </c>
      <c r="I143" s="11"/>
      <c r="N143" s="189"/>
    </row>
    <row r="144" spans="2:14" ht="4.9000000000000004" customHeight="1" thickBot="1" x14ac:dyDescent="0.3">
      <c r="B144" s="13"/>
      <c r="C144" s="4"/>
      <c r="D144" s="4"/>
      <c r="E144" s="4"/>
      <c r="F144" s="4"/>
      <c r="G144" s="4"/>
      <c r="H144" s="4"/>
      <c r="I144" s="14"/>
    </row>
    <row r="145" spans="2:9" ht="15" customHeight="1" x14ac:dyDescent="0.25">
      <c r="C145" s="24"/>
    </row>
    <row r="147" spans="2:9" ht="15" customHeight="1" thickBot="1" x14ac:dyDescent="0.3">
      <c r="C147" s="17" t="s">
        <v>50</v>
      </c>
    </row>
    <row r="148" spans="2:9" ht="15" customHeight="1" x14ac:dyDescent="0.25">
      <c r="B148" s="7"/>
      <c r="C148" s="25"/>
      <c r="D148" s="8"/>
      <c r="E148" s="19" t="s">
        <v>185</v>
      </c>
      <c r="F148" s="8"/>
      <c r="G148" s="15" t="s">
        <v>196</v>
      </c>
      <c r="H148" s="15" t="s">
        <v>221</v>
      </c>
      <c r="I148" s="9"/>
    </row>
    <row r="149" spans="2:9" ht="15" customHeight="1" x14ac:dyDescent="0.25">
      <c r="B149" s="10"/>
      <c r="C149" s="3"/>
      <c r="D149" s="3"/>
      <c r="E149" s="20" t="s">
        <v>81</v>
      </c>
      <c r="F149" s="3"/>
      <c r="G149" s="18" t="s">
        <v>197</v>
      </c>
      <c r="H149" s="18" t="s">
        <v>69</v>
      </c>
      <c r="I149" s="11"/>
    </row>
    <row r="150" spans="2:9" ht="15" customHeight="1" x14ac:dyDescent="0.25">
      <c r="B150" s="10"/>
      <c r="C150" s="158" t="s">
        <v>93</v>
      </c>
      <c r="D150" s="177"/>
      <c r="E150" s="115">
        <v>0.75</v>
      </c>
      <c r="G150" s="116">
        <v>25</v>
      </c>
      <c r="H150" s="12">
        <f>E150*G150</f>
        <v>18.75</v>
      </c>
      <c r="I150" s="11"/>
    </row>
    <row r="151" spans="2:9" ht="15" customHeight="1" x14ac:dyDescent="0.25">
      <c r="B151" s="10"/>
      <c r="C151" s="158" t="s">
        <v>94</v>
      </c>
      <c r="D151" s="158"/>
      <c r="E151" s="91">
        <v>0</v>
      </c>
      <c r="G151" s="93">
        <v>0</v>
      </c>
      <c r="H151" s="12">
        <f>(E151*G151)/$E$5</f>
        <v>0</v>
      </c>
      <c r="I151" s="11"/>
    </row>
    <row r="152" spans="2:9" ht="4.9000000000000004" customHeight="1" thickBot="1" x14ac:dyDescent="0.3">
      <c r="B152" s="13"/>
      <c r="C152" s="4"/>
      <c r="D152" s="4"/>
      <c r="E152" s="4"/>
      <c r="F152" s="4"/>
      <c r="G152" s="4"/>
      <c r="H152" s="4"/>
      <c r="I152" s="14"/>
    </row>
    <row r="154" spans="2:9" ht="15" customHeight="1" thickBot="1" x14ac:dyDescent="0.3">
      <c r="C154" s="17" t="s">
        <v>198</v>
      </c>
    </row>
    <row r="155" spans="2:9" ht="15" customHeight="1" x14ac:dyDescent="0.25">
      <c r="B155" s="7"/>
      <c r="C155" s="25"/>
      <c r="D155" s="8"/>
      <c r="E155" s="19"/>
      <c r="F155" s="8"/>
      <c r="G155" s="15"/>
      <c r="H155" s="15" t="s">
        <v>221</v>
      </c>
      <c r="I155" s="9"/>
    </row>
    <row r="156" spans="2:9" ht="15" customHeight="1" x14ac:dyDescent="0.25">
      <c r="B156" s="10"/>
      <c r="C156" s="3"/>
      <c r="D156" s="3"/>
      <c r="E156" s="20"/>
      <c r="F156" s="3"/>
      <c r="G156" s="18"/>
      <c r="H156" s="18" t="s">
        <v>69</v>
      </c>
      <c r="I156" s="11"/>
    </row>
    <row r="157" spans="2:9" ht="15" customHeight="1" x14ac:dyDescent="0.25">
      <c r="B157" s="10"/>
      <c r="C157" s="158" t="s">
        <v>199</v>
      </c>
      <c r="D157" s="158"/>
      <c r="H157" s="116">
        <v>0</v>
      </c>
      <c r="I157" s="11"/>
    </row>
    <row r="158" spans="2:9" ht="15" customHeight="1" x14ac:dyDescent="0.25">
      <c r="B158" s="10"/>
      <c r="C158" s="21" t="s">
        <v>200</v>
      </c>
      <c r="D158" s="21"/>
      <c r="H158" s="116">
        <v>0</v>
      </c>
      <c r="I158" s="11"/>
    </row>
    <row r="159" spans="2:9" ht="15" customHeight="1" x14ac:dyDescent="0.25">
      <c r="B159" s="10"/>
      <c r="C159" s="21" t="s">
        <v>233</v>
      </c>
      <c r="D159" s="21"/>
      <c r="H159" s="116">
        <v>0</v>
      </c>
      <c r="I159" s="11"/>
    </row>
    <row r="160" spans="2:9" ht="15" customHeight="1" x14ac:dyDescent="0.25">
      <c r="B160" s="10"/>
      <c r="C160" s="158" t="s">
        <v>254</v>
      </c>
      <c r="D160" s="158"/>
      <c r="E160" s="158"/>
      <c r="F160" s="158"/>
      <c r="H160" s="116">
        <v>5</v>
      </c>
      <c r="I160" s="11"/>
    </row>
    <row r="161" spans="2:9" ht="4.9000000000000004" customHeight="1" thickBot="1" x14ac:dyDescent="0.3">
      <c r="B161" s="13"/>
      <c r="C161" s="4"/>
      <c r="D161" s="4"/>
      <c r="E161" s="4"/>
      <c r="F161" s="4"/>
      <c r="G161" s="4"/>
      <c r="H161" s="4"/>
      <c r="I161" s="14"/>
    </row>
  </sheetData>
  <mergeCells count="60">
    <mergeCell ref="J85:N87"/>
    <mergeCell ref="C54:D54"/>
    <mergeCell ref="C61:D61"/>
    <mergeCell ref="C63:D63"/>
    <mergeCell ref="C55:D55"/>
    <mergeCell ref="C70:D70"/>
    <mergeCell ref="C72:D72"/>
    <mergeCell ref="C113:D113"/>
    <mergeCell ref="C73:D73"/>
    <mergeCell ref="C98:D98"/>
    <mergeCell ref="C111:D111"/>
    <mergeCell ref="C94:D94"/>
    <mergeCell ref="C35:D35"/>
    <mergeCell ref="C124:D124"/>
    <mergeCell ref="C150:D150"/>
    <mergeCell ref="C143:D143"/>
    <mergeCell ref="C142:D142"/>
    <mergeCell ref="C128:D128"/>
    <mergeCell ref="C136:D136"/>
    <mergeCell ref="C137:D137"/>
    <mergeCell ref="C140:D140"/>
    <mergeCell ref="C138:D138"/>
    <mergeCell ref="C139:D139"/>
    <mergeCell ref="C36:D36"/>
    <mergeCell ref="C37:D37"/>
    <mergeCell ref="C122:D122"/>
    <mergeCell ref="C96:D96"/>
    <mergeCell ref="C100:D100"/>
    <mergeCell ref="C3:E3"/>
    <mergeCell ref="C6:E6"/>
    <mergeCell ref="C51:D51"/>
    <mergeCell ref="C52:D52"/>
    <mergeCell ref="C53:D53"/>
    <mergeCell ref="B22:D22"/>
    <mergeCell ref="C25:D25"/>
    <mergeCell ref="C28:D28"/>
    <mergeCell ref="C8:E8"/>
    <mergeCell ref="C10:E10"/>
    <mergeCell ref="C26:D26"/>
    <mergeCell ref="C14:D14"/>
    <mergeCell ref="C27:D27"/>
    <mergeCell ref="C19:D19"/>
    <mergeCell ref="C34:D34"/>
    <mergeCell ref="C4:D4"/>
    <mergeCell ref="C160:F160"/>
    <mergeCell ref="C157:D157"/>
    <mergeCell ref="C38:D38"/>
    <mergeCell ref="C39:D39"/>
    <mergeCell ref="C40:D40"/>
    <mergeCell ref="C41:D41"/>
    <mergeCell ref="C42:D42"/>
    <mergeCell ref="C43:D43"/>
    <mergeCell ref="C44:D44"/>
    <mergeCell ref="C71:D71"/>
    <mergeCell ref="C151:D151"/>
    <mergeCell ref="C126:D126"/>
    <mergeCell ref="C74:D74"/>
    <mergeCell ref="C120:D120"/>
    <mergeCell ref="C107:D107"/>
    <mergeCell ref="C109:D10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4">
        <x14:dataValidation type="list" allowBlank="1" showInputMessage="1" showErrorMessage="1" xr:uid="{00000000-0002-0000-0000-000000000000}">
          <x14:formula1>
            <xm:f>Data!$H$2:$H$16</xm:f>
          </x14:formula1>
          <xm:sqref>C136:D141</xm:sqref>
        </x14:dataValidation>
        <x14:dataValidation type="list" allowBlank="1" showInputMessage="1" showErrorMessage="1" xr:uid="{00000000-0002-0000-0000-000001000000}">
          <x14:formula1>
            <xm:f>Data!$B$2:$B$27</xm:f>
          </x14:formula1>
          <xm:sqref>C7:D7</xm:sqref>
        </x14:dataValidation>
        <x14:dataValidation type="list" allowBlank="1" showInputMessage="1" showErrorMessage="1" xr:uid="{00000000-0002-0000-0000-000002000000}">
          <x14:formula1>
            <xm:f>Data!$D$23:$D$34</xm:f>
          </x14:formula1>
          <xm:sqref>E3 C3:C4 D3</xm:sqref>
        </x14:dataValidation>
        <x14:dataValidation type="list" allowBlank="1" showInputMessage="1" showErrorMessage="1" xr:uid="{00000000-0002-0000-0000-000003000000}">
          <x14:formula1>
            <xm:f>Data!$F$29:$F$34</xm:f>
          </x14:formula1>
          <xm:sqref>C61:D61 C63:D63</xm:sqref>
        </x14:dataValidation>
        <x14:dataValidation type="list" allowBlank="1" showInputMessage="1" showErrorMessage="1" xr:uid="{00000000-0002-0000-0000-000004000000}">
          <x14:formula1>
            <xm:f>Data!$F$29:$F$32</xm:f>
          </x14:formula1>
          <xm:sqref>F61 F63</xm:sqref>
        </x14:dataValidation>
        <x14:dataValidation type="list" allowBlank="1" showInputMessage="1" showErrorMessage="1" xr:uid="{00000000-0002-0000-0000-000006000000}">
          <x14:formula1>
            <xm:f>Data!$F$21:$F$27</xm:f>
          </x14:formula1>
          <xm:sqref>D62 D64</xm:sqref>
        </x14:dataValidation>
        <x14:dataValidation type="list" allowBlank="1" showInputMessage="1" showErrorMessage="1" xr:uid="{00000000-0002-0000-0000-000007000000}">
          <x14:formula1>
            <xm:f>Data!$L$21:$L$26</xm:f>
          </x14:formula1>
          <xm:sqref>D95 D97 D99 D101</xm:sqref>
        </x14:dataValidation>
        <x14:dataValidation type="list" allowBlank="1" showInputMessage="1" showErrorMessage="1" xr:uid="{00000000-0002-0000-0000-000008000000}">
          <x14:formula1>
            <xm:f>Data!$J$16:$J$24</xm:f>
          </x14:formula1>
          <xm:sqref>C120:D120 C122:D122 C124:D124 C126:D126 C128:D128 C107:D107 C109:D109 C111:D111 C113:D113</xm:sqref>
        </x14:dataValidation>
        <x14:dataValidation type="list" allowBlank="1" showInputMessage="1" showErrorMessage="1" xr:uid="{00000000-0002-0000-0000-000009000000}">
          <x14:formula1>
            <xm:f>Data!$J$28:$J$34</xm:f>
          </x14:formula1>
          <xm:sqref>C10:E10</xm:sqref>
        </x14:dataValidation>
        <x14:dataValidation type="list" allowBlank="1" showInputMessage="1" showErrorMessage="1" xr:uid="{00000000-0002-0000-0000-00000A000000}">
          <x14:formula1>
            <xm:f>Data!$L$29:$L$34</xm:f>
          </x14:formula1>
          <xm:sqref>D108 D110 D112 D114 D121 D123 D125 D127 D129</xm:sqref>
        </x14:dataValidation>
        <x14:dataValidation type="list" allowBlank="1" showInputMessage="1" showErrorMessage="1" xr:uid="{00000000-0002-0000-0000-00000B000000}">
          <x14:formula1>
            <xm:f>Data!$B$2:$B$34</xm:f>
          </x14:formula1>
          <xm:sqref>C6:E6 C26:D27</xm:sqref>
        </x14:dataValidation>
        <x14:dataValidation type="list" allowBlank="1" showInputMessage="1" showErrorMessage="1" xr:uid="{00000000-0002-0000-0000-00000C000000}">
          <x14:formula1>
            <xm:f>Data!$D$2:$D$12</xm:f>
          </x14:formula1>
          <xm:sqref>C8:E8 F26:F27 F136:F143</xm:sqref>
        </x14:dataValidation>
        <x14:dataValidation type="list" allowBlank="1" showInputMessage="1" showErrorMessage="1" xr:uid="{00000000-0002-0000-0000-00000D000000}">
          <x14:formula1>
            <xm:f>Data!$F$2:$F$18</xm:f>
          </x14:formula1>
          <xm:sqref>C51:D55 C70:D74 C34:D41</xm:sqref>
        </x14:dataValidation>
        <x14:dataValidation type="list" allowBlank="1" showInputMessage="1" showErrorMessage="1" xr:uid="{00000000-0002-0000-0000-00000E000000}">
          <x14:formula1>
            <xm:f>Data!$J$2:$J$14</xm:f>
          </x14:formula1>
          <xm:sqref>C94:D94 C96:D96 C98:D98 C100:D100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I61"/>
  <sheetViews>
    <sheetView tabSelected="1" zoomScale="140" zoomScaleNormal="140" workbookViewId="0">
      <selection activeCell="B2" sqref="B2"/>
    </sheetView>
  </sheetViews>
  <sheetFormatPr defaultColWidth="8.85546875" defaultRowHeight="15" customHeight="1" x14ac:dyDescent="0.25"/>
  <cols>
    <col min="1" max="2" width="8.85546875" style="1"/>
    <col min="3" max="3" width="20.7109375" style="1" customWidth="1"/>
    <col min="4" max="8" width="8.7109375" style="1" customWidth="1"/>
    <col min="9" max="9" width="10.7109375" style="1" customWidth="1"/>
    <col min="10" max="16384" width="8.85546875" style="1"/>
  </cols>
  <sheetData>
    <row r="1" spans="3:9" ht="4.9000000000000004" customHeight="1" x14ac:dyDescent="0.25"/>
    <row r="2" spans="3:9" ht="57" customHeight="1" x14ac:dyDescent="0.25"/>
    <row r="3" spans="3:9" ht="19.899999999999999" customHeight="1" x14ac:dyDescent="0.25">
      <c r="C3" s="182" t="s">
        <v>111</v>
      </c>
      <c r="D3" s="182"/>
      <c r="E3" s="182"/>
      <c r="F3" s="182"/>
      <c r="G3" s="182"/>
      <c r="H3" s="182"/>
      <c r="I3" s="182"/>
    </row>
    <row r="4" spans="3:9" ht="19.899999999999999" customHeight="1" x14ac:dyDescent="0.25">
      <c r="C4" s="156" t="str">
        <f>'Input Page'!C3:F3&amp;" -- "&amp;'Input Page'!C6:F6&amp;", "&amp;'Input Page'!C10:E10</f>
        <v>San Luis Valley -- Alfalfa Hay, Irrigated - Pivot</v>
      </c>
      <c r="F4" s="33"/>
      <c r="I4" s="34">
        <f>'Input Page'!E2</f>
        <v>2023</v>
      </c>
    </row>
    <row r="5" spans="3:9" ht="4.9000000000000004" customHeight="1" x14ac:dyDescent="0.25">
      <c r="E5" s="32"/>
    </row>
    <row r="6" spans="3:9" ht="12.95" customHeight="1" x14ac:dyDescent="0.25">
      <c r="C6" s="102" t="s">
        <v>0</v>
      </c>
      <c r="D6" s="103"/>
      <c r="E6" s="103"/>
      <c r="F6" s="103"/>
      <c r="G6" s="103"/>
      <c r="H6" s="103"/>
      <c r="I6" s="103"/>
    </row>
    <row r="7" spans="3:9" ht="12.95" customHeight="1" x14ac:dyDescent="0.25">
      <c r="C7" s="37" t="s">
        <v>243</v>
      </c>
      <c r="E7" s="106" t="s">
        <v>216</v>
      </c>
      <c r="F7" s="37"/>
      <c r="G7" s="36" t="s">
        <v>84</v>
      </c>
      <c r="H7" s="186" t="s">
        <v>86</v>
      </c>
      <c r="I7" s="186"/>
    </row>
    <row r="8" spans="3:9" ht="12.95" customHeight="1" thickBot="1" x14ac:dyDescent="0.3">
      <c r="C8" s="155" t="s">
        <v>244</v>
      </c>
      <c r="D8" s="40"/>
      <c r="E8" s="39" t="s">
        <v>217</v>
      </c>
      <c r="F8" s="39" t="s">
        <v>83</v>
      </c>
      <c r="G8" s="38" t="s">
        <v>85</v>
      </c>
      <c r="H8" s="38" t="s">
        <v>85</v>
      </c>
      <c r="I8" s="38" t="s">
        <v>82</v>
      </c>
    </row>
    <row r="9" spans="3:9" ht="12.95" customHeight="1" x14ac:dyDescent="0.25">
      <c r="C9" s="35" t="str">
        <f>'Input Page'!C25:D25</f>
        <v>Alfalfa Hay</v>
      </c>
      <c r="E9" s="157">
        <f>'Input Page'!E25</f>
        <v>3.5</v>
      </c>
      <c r="F9" s="41" t="str">
        <f>'Input Page'!F25</f>
        <v>tons</v>
      </c>
      <c r="G9" s="42">
        <f>'Input Page'!G25</f>
        <v>250</v>
      </c>
      <c r="H9" s="43"/>
      <c r="I9" s="104">
        <f>E9*G9</f>
        <v>875</v>
      </c>
    </row>
    <row r="10" spans="3:9" ht="12.95" customHeight="1" x14ac:dyDescent="0.25">
      <c r="C10" s="35" t="str">
        <f>'Input Page'!C26</f>
        <v>Alalfa Hay</v>
      </c>
      <c r="E10" s="157">
        <f>'Input Page'!E26</f>
        <v>1.5</v>
      </c>
      <c r="F10" s="41" t="str">
        <f>'Input Page'!F26</f>
        <v>tons</v>
      </c>
      <c r="G10" s="43">
        <f>'Input Page'!G26</f>
        <v>200</v>
      </c>
      <c r="H10" s="43"/>
      <c r="I10" s="104">
        <f>E10*G10</f>
        <v>300</v>
      </c>
    </row>
    <row r="11" spans="3:9" ht="12.95" customHeight="1" x14ac:dyDescent="0.25">
      <c r="C11" s="35" t="str">
        <f>'Input Page'!C27</f>
        <v>Crop</v>
      </c>
      <c r="E11" s="157">
        <f>'Input Page'!E27</f>
        <v>0</v>
      </c>
      <c r="F11" s="41" t="str">
        <f>'Input Page'!F27</f>
        <v>Units</v>
      </c>
      <c r="G11" s="43">
        <f>'Input Page'!G27</f>
        <v>0</v>
      </c>
      <c r="H11" s="43"/>
      <c r="I11" s="104">
        <f>E11*G11</f>
        <v>0</v>
      </c>
    </row>
    <row r="12" spans="3:9" ht="5.0999999999999996" customHeight="1" thickBot="1" x14ac:dyDescent="0.3">
      <c r="C12" s="44"/>
      <c r="D12" s="73"/>
      <c r="E12" s="44"/>
      <c r="F12" s="44"/>
      <c r="G12" s="44"/>
      <c r="H12" s="44"/>
      <c r="I12" s="105"/>
    </row>
    <row r="13" spans="3:9" ht="12.95" customHeight="1" thickTop="1" x14ac:dyDescent="0.25">
      <c r="C13" s="37" t="s">
        <v>87</v>
      </c>
      <c r="D13" s="17"/>
      <c r="E13" s="37"/>
      <c r="F13" s="37"/>
      <c r="G13" s="37"/>
      <c r="H13" s="153">
        <f>I13/(E9+E10)</f>
        <v>235</v>
      </c>
      <c r="I13" s="154">
        <f>SUM(I9:I12)</f>
        <v>1175</v>
      </c>
    </row>
    <row r="14" spans="3:9" ht="12.95" customHeight="1" x14ac:dyDescent="0.25">
      <c r="C14" s="35"/>
      <c r="D14" s="35"/>
      <c r="E14" s="35"/>
      <c r="F14" s="35"/>
      <c r="G14" s="35"/>
      <c r="H14" s="35"/>
    </row>
    <row r="15" spans="3:9" ht="12.95" customHeight="1" x14ac:dyDescent="0.25">
      <c r="C15" s="102" t="s">
        <v>95</v>
      </c>
      <c r="D15" s="103"/>
      <c r="E15" s="103"/>
      <c r="F15" s="103"/>
      <c r="G15" s="103"/>
      <c r="H15" s="103"/>
      <c r="I15" s="103"/>
    </row>
    <row r="16" spans="3:9" ht="12.95" customHeight="1" x14ac:dyDescent="0.25">
      <c r="C16" s="37"/>
      <c r="D16" s="35"/>
      <c r="E16" s="35"/>
      <c r="F16" s="35"/>
      <c r="G16" s="35"/>
      <c r="H16" s="186" t="s">
        <v>95</v>
      </c>
      <c r="I16" s="186"/>
    </row>
    <row r="17" spans="3:9" ht="12.95" customHeight="1" thickBot="1" x14ac:dyDescent="0.3">
      <c r="C17" s="40"/>
      <c r="D17" s="38"/>
      <c r="E17" s="39"/>
      <c r="F17" s="4"/>
      <c r="G17" s="4"/>
      <c r="H17" s="38" t="s">
        <v>85</v>
      </c>
      <c r="I17" s="38" t="s">
        <v>82</v>
      </c>
    </row>
    <row r="18" spans="3:9" ht="12.95" customHeight="1" x14ac:dyDescent="0.25">
      <c r="C18" s="151" t="s">
        <v>240</v>
      </c>
      <c r="D18" s="35"/>
      <c r="E18" s="35"/>
      <c r="H18" s="35"/>
      <c r="I18" s="35"/>
    </row>
    <row r="19" spans="3:9" ht="12.95" customHeight="1" x14ac:dyDescent="0.25">
      <c r="C19" s="45" t="s">
        <v>195</v>
      </c>
      <c r="D19" s="35"/>
      <c r="E19" s="35"/>
      <c r="H19" s="43">
        <f>I19/'Input Page'!$E$7</f>
        <v>8.7666666666666675</v>
      </c>
      <c r="I19" s="104">
        <f>SUM('Input Page'!H34:H44)/'Input Page'!G45</f>
        <v>43.833333333333336</v>
      </c>
    </row>
    <row r="20" spans="3:9" ht="12.95" customHeight="1" x14ac:dyDescent="0.25">
      <c r="C20" s="45" t="s">
        <v>5</v>
      </c>
      <c r="D20" s="35"/>
      <c r="E20" s="35"/>
      <c r="H20" s="43">
        <f>I20/'Input Page'!$E$7</f>
        <v>0</v>
      </c>
      <c r="I20" s="104">
        <f>SUM('Input Page'!H51:H55)</f>
        <v>0</v>
      </c>
    </row>
    <row r="21" spans="3:9" ht="12.95" customHeight="1" x14ac:dyDescent="0.25">
      <c r="C21" s="45" t="s">
        <v>201</v>
      </c>
      <c r="D21" s="35"/>
      <c r="E21" s="35"/>
      <c r="H21" s="43">
        <f>I21/'Input Page'!$E$7</f>
        <v>0</v>
      </c>
      <c r="I21" s="104">
        <f>SUM('Input Page'!H61:H64)</f>
        <v>0</v>
      </c>
    </row>
    <row r="22" spans="3:9" ht="12.95" customHeight="1" x14ac:dyDescent="0.25">
      <c r="C22" s="45" t="s">
        <v>123</v>
      </c>
      <c r="D22" s="35"/>
      <c r="E22" s="35"/>
      <c r="H22" s="43">
        <f>I22/'Input Page'!$E$7</f>
        <v>21.122</v>
      </c>
      <c r="I22" s="104">
        <f>SUM('Input Page'!H94:H101)</f>
        <v>105.61</v>
      </c>
    </row>
    <row r="23" spans="3:9" ht="12.95" customHeight="1" x14ac:dyDescent="0.25">
      <c r="C23" s="45" t="s">
        <v>124</v>
      </c>
      <c r="D23" s="35"/>
      <c r="E23" s="35"/>
      <c r="H23" s="43">
        <f>I23/'Input Page'!$E$7</f>
        <v>0</v>
      </c>
      <c r="I23" s="104">
        <f>SUM('Input Page'!H107:H114)</f>
        <v>0</v>
      </c>
    </row>
    <row r="24" spans="3:9" ht="12.95" customHeight="1" x14ac:dyDescent="0.25">
      <c r="C24" s="45" t="s">
        <v>125</v>
      </c>
      <c r="D24" s="35"/>
      <c r="E24" s="35"/>
      <c r="H24" s="43">
        <f>I24/'Input Page'!$E$7</f>
        <v>0</v>
      </c>
      <c r="I24" s="104">
        <f>SUM('Input Page'!H120:H129)</f>
        <v>0</v>
      </c>
    </row>
    <row r="25" spans="3:9" ht="12.95" customHeight="1" x14ac:dyDescent="0.25">
      <c r="C25" s="45" t="s">
        <v>92</v>
      </c>
      <c r="D25" s="35"/>
      <c r="E25" s="35"/>
      <c r="H25" s="43">
        <f>I25/'Input Page'!$E$7</f>
        <v>3</v>
      </c>
      <c r="I25" s="104">
        <f>SUM('Input Page'!H70:H74)</f>
        <v>15</v>
      </c>
    </row>
    <row r="26" spans="3:9" ht="12.95" customHeight="1" x14ac:dyDescent="0.25">
      <c r="C26" s="45" t="str">
        <f>IF('Input Page'!E4="n/a","Irrigation",CONCATENATE("Irrigation"," (primarily subdistricts ",'Input Page'!E4," )"))</f>
        <v>Irrigation</v>
      </c>
      <c r="D26" s="35"/>
      <c r="E26" s="35"/>
      <c r="H26" s="43">
        <f>I26/'Input Page'!$E$7</f>
        <v>50.499999999999993</v>
      </c>
      <c r="I26" s="104">
        <f>SUM('Input Page'!H80:H85)</f>
        <v>252.49999999999997</v>
      </c>
    </row>
    <row r="27" spans="3:9" ht="12.95" customHeight="1" x14ac:dyDescent="0.25">
      <c r="C27" s="45" t="s">
        <v>242</v>
      </c>
      <c r="D27" s="35"/>
      <c r="E27" s="35"/>
      <c r="H27" s="43">
        <f>I27/'Input Page'!$E$7</f>
        <v>3.75</v>
      </c>
      <c r="I27" s="104">
        <f>'Input Page'!H150+'Input Page'!H151</f>
        <v>18.75</v>
      </c>
    </row>
    <row r="28" spans="3:9" ht="12.95" customHeight="1" x14ac:dyDescent="0.25">
      <c r="C28" s="45" t="s">
        <v>219</v>
      </c>
      <c r="D28" s="35"/>
      <c r="E28" s="35"/>
      <c r="H28" s="43">
        <f>I28/'Input Page'!$E$7</f>
        <v>40</v>
      </c>
      <c r="I28" s="104">
        <f>IF('Input Page'!F19&gt;0,'Input Page'!F19,0)</f>
        <v>200</v>
      </c>
    </row>
    <row r="29" spans="3:9" ht="12.95" customHeight="1" x14ac:dyDescent="0.25">
      <c r="C29" s="45" t="s">
        <v>212</v>
      </c>
      <c r="D29" s="35"/>
      <c r="E29" s="35"/>
      <c r="H29" s="43">
        <f>I29/'Input Page'!$E$7</f>
        <v>1</v>
      </c>
      <c r="I29" s="104">
        <f>'Input Page'!H160</f>
        <v>5</v>
      </c>
    </row>
    <row r="30" spans="3:9" ht="12.95" customHeight="1" x14ac:dyDescent="0.25">
      <c r="C30" s="45" t="s">
        <v>198</v>
      </c>
      <c r="D30" s="35"/>
      <c r="E30" s="35"/>
      <c r="H30" s="43">
        <f>I30/'Input Page'!$E$7</f>
        <v>0</v>
      </c>
      <c r="I30" s="104">
        <f>SUM('Input Page'!H157:H159)</f>
        <v>0</v>
      </c>
    </row>
    <row r="31" spans="3:9" ht="12.95" customHeight="1" x14ac:dyDescent="0.25">
      <c r="C31" s="46" t="s">
        <v>246</v>
      </c>
      <c r="D31" s="47"/>
      <c r="E31" s="121" t="str">
        <f>(100*'Input Page'!E9)&amp;"%)"</f>
        <v>9%)</v>
      </c>
      <c r="F31" s="3"/>
      <c r="G31" s="3"/>
      <c r="H31" s="48">
        <f>I31/'Input Page'!$E$7</f>
        <v>5.7662399999999989</v>
      </c>
      <c r="I31" s="107">
        <f>SUM(I19:I30)*0.5*'Input Page'!E9</f>
        <v>28.831199999999995</v>
      </c>
    </row>
    <row r="32" spans="3:9" ht="12.95" customHeight="1" x14ac:dyDescent="0.25">
      <c r="C32" s="45" t="s">
        <v>96</v>
      </c>
      <c r="D32" s="35"/>
      <c r="E32" s="35"/>
      <c r="H32" s="43">
        <f>SUM(H19:H31)</f>
        <v>133.90490666666668</v>
      </c>
      <c r="I32" s="104">
        <f>SUM(I19:I31)</f>
        <v>669.52453333333324</v>
      </c>
    </row>
    <row r="33" spans="3:9" ht="12.95" customHeight="1" x14ac:dyDescent="0.25">
      <c r="C33" s="151" t="s">
        <v>241</v>
      </c>
      <c r="D33" s="35"/>
      <c r="E33" s="35"/>
      <c r="H33" s="35"/>
      <c r="I33" s="104"/>
    </row>
    <row r="34" spans="3:9" ht="12.95" customHeight="1" x14ac:dyDescent="0.25">
      <c r="C34" s="45" t="s">
        <v>97</v>
      </c>
      <c r="D34" s="35"/>
      <c r="E34" s="35"/>
      <c r="H34" s="43">
        <f>I34/'Input Page'!$E$7</f>
        <v>38.450000000000003</v>
      </c>
      <c r="I34" s="104">
        <f>SUM('Input Page'!H136:H140)</f>
        <v>192.25</v>
      </c>
    </row>
    <row r="35" spans="3:9" ht="12.95" customHeight="1" x14ac:dyDescent="0.25">
      <c r="C35" s="45" t="s">
        <v>45</v>
      </c>
      <c r="D35" s="35"/>
      <c r="E35" s="35"/>
      <c r="H35" s="43">
        <f>I35/'Input Page'!$E$7</f>
        <v>0</v>
      </c>
      <c r="I35" s="104">
        <f>'Input Page'!H143</f>
        <v>0</v>
      </c>
    </row>
    <row r="36" spans="3:9" ht="12.95" customHeight="1" x14ac:dyDescent="0.25">
      <c r="C36" s="46" t="s">
        <v>214</v>
      </c>
      <c r="D36" s="47"/>
      <c r="E36" s="47"/>
      <c r="F36" s="3"/>
      <c r="G36" s="3"/>
      <c r="H36" s="48">
        <f>I36/'Input Page'!$E$7</f>
        <v>0</v>
      </c>
      <c r="I36" s="107">
        <f>'Input Page'!H142</f>
        <v>0</v>
      </c>
    </row>
    <row r="37" spans="3:9" ht="12.95" customHeight="1" x14ac:dyDescent="0.25">
      <c r="C37" s="45" t="s">
        <v>98</v>
      </c>
      <c r="D37" s="35"/>
      <c r="E37" s="35"/>
      <c r="H37" s="43">
        <f>SUM(H34:H36)</f>
        <v>38.450000000000003</v>
      </c>
      <c r="I37" s="104">
        <f>SUM(I34:I36)</f>
        <v>192.25</v>
      </c>
    </row>
    <row r="38" spans="3:9" ht="5.0999999999999996" customHeight="1" thickBot="1" x14ac:dyDescent="0.3">
      <c r="C38" s="49"/>
      <c r="D38" s="44"/>
      <c r="E38" s="44"/>
      <c r="F38" s="73"/>
      <c r="G38" s="73"/>
      <c r="H38" s="50"/>
      <c r="I38" s="105"/>
    </row>
    <row r="39" spans="3:9" ht="12.95" customHeight="1" thickTop="1" x14ac:dyDescent="0.25">
      <c r="C39" s="35" t="s">
        <v>99</v>
      </c>
      <c r="D39" s="35"/>
      <c r="E39" s="35"/>
      <c r="H39" s="43">
        <f>H32+H37</f>
        <v>172.35490666666669</v>
      </c>
      <c r="I39" s="104">
        <f>I32+I37</f>
        <v>861.77453333333324</v>
      </c>
    </row>
    <row r="40" spans="3:9" ht="12.95" customHeight="1" x14ac:dyDescent="0.25">
      <c r="C40" s="151" t="s">
        <v>238</v>
      </c>
      <c r="D40" s="35"/>
      <c r="E40" s="35"/>
      <c r="F40" s="35"/>
      <c r="H40" s="43"/>
      <c r="I40" s="104"/>
    </row>
    <row r="41" spans="3:9" ht="12.95" customHeight="1" x14ac:dyDescent="0.25">
      <c r="C41" s="45" t="s">
        <v>222</v>
      </c>
      <c r="D41" s="35"/>
      <c r="E41" s="35"/>
      <c r="F41" s="35"/>
      <c r="H41" s="43">
        <f>I41/'Input Page'!$E$7</f>
        <v>0</v>
      </c>
      <c r="I41" s="104">
        <f>IF('Input Page'!F19&gt;0,0,(('Input Page'!F16/20)*(1+'Input Page'!F17)))</f>
        <v>0</v>
      </c>
    </row>
    <row r="42" spans="3:9" ht="12.95" customHeight="1" x14ac:dyDescent="0.25">
      <c r="C42" s="45" t="s">
        <v>226</v>
      </c>
      <c r="D42" s="35"/>
      <c r="E42" s="35"/>
      <c r="F42" s="35"/>
      <c r="H42" s="43">
        <f>I42/'Input Page'!$E$7</f>
        <v>0</v>
      </c>
      <c r="I42" s="104">
        <f>'Input Page'!E12</f>
        <v>0</v>
      </c>
    </row>
    <row r="43" spans="3:9" ht="12.95" customHeight="1" x14ac:dyDescent="0.25">
      <c r="C43" s="46" t="s">
        <v>140</v>
      </c>
      <c r="D43" s="47"/>
      <c r="E43" s="47"/>
      <c r="F43" s="47"/>
      <c r="G43" s="47"/>
      <c r="H43" s="48">
        <f>I43/'Input Page'!$E$7</f>
        <v>60</v>
      </c>
      <c r="I43" s="107">
        <f>'Input Page'!E11</f>
        <v>300</v>
      </c>
    </row>
    <row r="44" spans="3:9" ht="12.95" customHeight="1" x14ac:dyDescent="0.25">
      <c r="C44" s="45" t="s">
        <v>237</v>
      </c>
      <c r="D44" s="35"/>
      <c r="E44" s="35"/>
      <c r="F44" s="35"/>
      <c r="H44" s="43">
        <f>SUM(H41:H43)</f>
        <v>60</v>
      </c>
      <c r="I44" s="104">
        <f>SUM(I41:I43)</f>
        <v>300</v>
      </c>
    </row>
    <row r="45" spans="3:9" ht="5.0999999999999996" customHeight="1" x14ac:dyDescent="0.25">
      <c r="C45" s="35"/>
      <c r="D45" s="35"/>
      <c r="E45" s="35"/>
      <c r="F45" s="35"/>
      <c r="H45" s="43"/>
      <c r="I45" s="104"/>
    </row>
    <row r="46" spans="3:9" ht="12.95" customHeight="1" x14ac:dyDescent="0.25">
      <c r="C46" s="37" t="s">
        <v>239</v>
      </c>
      <c r="D46" s="37"/>
      <c r="E46" s="37"/>
      <c r="F46" s="37"/>
      <c r="G46" s="17"/>
      <c r="H46" s="150">
        <f>H39+H44</f>
        <v>232.35490666666669</v>
      </c>
      <c r="I46" s="152">
        <f>I39+I44</f>
        <v>1161.7745333333332</v>
      </c>
    </row>
    <row r="47" spans="3:9" ht="12.95" customHeight="1" x14ac:dyDescent="0.25">
      <c r="C47" s="35"/>
      <c r="D47" s="35"/>
      <c r="E47" s="35"/>
      <c r="F47" s="35"/>
      <c r="H47" s="43"/>
      <c r="I47" s="104"/>
    </row>
    <row r="48" spans="3:9" ht="12.95" customHeight="1" x14ac:dyDescent="0.25">
      <c r="C48" s="37" t="s">
        <v>100</v>
      </c>
      <c r="D48" s="37"/>
      <c r="E48" s="37"/>
      <c r="F48" s="37"/>
      <c r="G48" s="37"/>
      <c r="H48" s="150">
        <f>H13-H46</f>
        <v>2.6450933333333069</v>
      </c>
      <c r="I48" s="150">
        <f>I13-I46</f>
        <v>13.225466666666762</v>
      </c>
    </row>
    <row r="49" spans="3:9" ht="12.95" customHeight="1" x14ac:dyDescent="0.25">
      <c r="C49" s="35"/>
      <c r="D49" s="35"/>
      <c r="E49" s="35"/>
      <c r="F49" s="35"/>
      <c r="G49" s="43"/>
      <c r="H49" s="43"/>
      <c r="I49" s="35"/>
    </row>
    <row r="50" spans="3:9" ht="12.95" customHeight="1" x14ac:dyDescent="0.25">
      <c r="C50" s="37" t="s">
        <v>236</v>
      </c>
      <c r="D50" s="30"/>
      <c r="E50" s="30"/>
      <c r="F50" s="30"/>
      <c r="H50" s="31"/>
      <c r="I50" s="30"/>
    </row>
    <row r="51" spans="3:9" ht="5.0999999999999996" customHeight="1" x14ac:dyDescent="0.25">
      <c r="C51" s="37"/>
      <c r="D51" s="30"/>
      <c r="E51" s="30"/>
      <c r="F51" s="30"/>
      <c r="H51" s="31"/>
      <c r="I51" s="30"/>
    </row>
    <row r="52" spans="3:9" ht="12" customHeight="1" x14ac:dyDescent="0.25">
      <c r="C52" s="86"/>
      <c r="D52" s="86"/>
      <c r="E52" s="123" t="s">
        <v>106</v>
      </c>
      <c r="F52" s="124" t="s">
        <v>107</v>
      </c>
      <c r="G52" s="140" t="s">
        <v>108</v>
      </c>
      <c r="H52" s="125" t="s">
        <v>109</v>
      </c>
      <c r="I52" s="126" t="s">
        <v>110</v>
      </c>
    </row>
    <row r="53" spans="3:9" ht="12" customHeight="1" x14ac:dyDescent="0.25">
      <c r="C53" s="86"/>
      <c r="D53" s="101" t="str">
        <f>'Input Page'!F25</f>
        <v>tons</v>
      </c>
      <c r="E53" s="127">
        <f>G53*0.75</f>
        <v>187.5</v>
      </c>
      <c r="F53" s="128">
        <f>G53*0.9</f>
        <v>225</v>
      </c>
      <c r="G53" s="141">
        <f>'Input Page'!G25</f>
        <v>250</v>
      </c>
      <c r="H53" s="129">
        <f>G53*1.1</f>
        <v>275</v>
      </c>
      <c r="I53" s="130">
        <f>G53*1.25</f>
        <v>312.5</v>
      </c>
    </row>
    <row r="54" spans="3:9" ht="12" customHeight="1" x14ac:dyDescent="0.25">
      <c r="C54" s="100" t="s">
        <v>104</v>
      </c>
      <c r="D54" s="122">
        <f>D56*0.75</f>
        <v>2.625</v>
      </c>
      <c r="E54" s="131">
        <f t="shared" ref="E54:I58" si="0">(($D54*E$53)+$I$10+$I$11)-$I$46</f>
        <v>-369.58703333333324</v>
      </c>
      <c r="F54" s="132">
        <f t="shared" si="0"/>
        <v>-271.14953333333324</v>
      </c>
      <c r="G54" s="142">
        <f t="shared" si="0"/>
        <v>-205.52453333333324</v>
      </c>
      <c r="H54" s="132">
        <f t="shared" si="0"/>
        <v>-139.89953333333324</v>
      </c>
      <c r="I54" s="133">
        <f t="shared" si="0"/>
        <v>-41.462033333333238</v>
      </c>
    </row>
    <row r="55" spans="3:9" ht="12" customHeight="1" x14ac:dyDescent="0.25">
      <c r="C55" s="100" t="s">
        <v>103</v>
      </c>
      <c r="D55" s="122">
        <f>D56*0.9</f>
        <v>3.15</v>
      </c>
      <c r="E55" s="134">
        <f t="shared" si="0"/>
        <v>-271.14953333333324</v>
      </c>
      <c r="F55" s="135">
        <f t="shared" si="0"/>
        <v>-153.02453333333324</v>
      </c>
      <c r="G55" s="143">
        <f t="shared" si="0"/>
        <v>-74.274533333333238</v>
      </c>
      <c r="H55" s="135">
        <f t="shared" si="0"/>
        <v>4.4754666666667617</v>
      </c>
      <c r="I55" s="136">
        <f t="shared" si="0"/>
        <v>122.60046666666676</v>
      </c>
    </row>
    <row r="56" spans="3:9" ht="12" customHeight="1" x14ac:dyDescent="0.25">
      <c r="C56" s="145" t="s">
        <v>105</v>
      </c>
      <c r="D56" s="146">
        <f>E9</f>
        <v>3.5</v>
      </c>
      <c r="E56" s="147">
        <f t="shared" si="0"/>
        <v>-205.52453333333324</v>
      </c>
      <c r="F56" s="143">
        <f t="shared" si="0"/>
        <v>-74.274533333333238</v>
      </c>
      <c r="G56" s="143">
        <f t="shared" si="0"/>
        <v>13.225466666666762</v>
      </c>
      <c r="H56" s="143">
        <f t="shared" si="0"/>
        <v>100.72546666666676</v>
      </c>
      <c r="I56" s="148">
        <f t="shared" si="0"/>
        <v>231.97546666666676</v>
      </c>
    </row>
    <row r="57" spans="3:9" ht="12" customHeight="1" x14ac:dyDescent="0.25">
      <c r="C57" s="100" t="s">
        <v>101</v>
      </c>
      <c r="D57" s="122">
        <f>D56*1.1</f>
        <v>3.8500000000000005</v>
      </c>
      <c r="E57" s="134">
        <f t="shared" si="0"/>
        <v>-139.89953333333312</v>
      </c>
      <c r="F57" s="135">
        <f t="shared" si="0"/>
        <v>4.4754666666667617</v>
      </c>
      <c r="G57" s="143">
        <f t="shared" si="0"/>
        <v>100.72546666666676</v>
      </c>
      <c r="H57" s="135">
        <f t="shared" si="0"/>
        <v>196.97546666666699</v>
      </c>
      <c r="I57" s="136">
        <f t="shared" si="0"/>
        <v>341.35046666666699</v>
      </c>
    </row>
    <row r="58" spans="3:9" ht="12" customHeight="1" x14ac:dyDescent="0.25">
      <c r="C58" s="100" t="s">
        <v>102</v>
      </c>
      <c r="D58" s="122">
        <f>D56*1.25</f>
        <v>4.375</v>
      </c>
      <c r="E58" s="137">
        <f t="shared" si="0"/>
        <v>-41.462033333333238</v>
      </c>
      <c r="F58" s="138">
        <f t="shared" si="0"/>
        <v>122.60046666666676</v>
      </c>
      <c r="G58" s="144">
        <f t="shared" si="0"/>
        <v>231.97546666666676</v>
      </c>
      <c r="H58" s="138">
        <f t="shared" si="0"/>
        <v>341.35046666666676</v>
      </c>
      <c r="I58" s="139">
        <f t="shared" si="0"/>
        <v>505.41296666666676</v>
      </c>
    </row>
    <row r="59" spans="3:9" ht="10.15" customHeight="1" thickBot="1" x14ac:dyDescent="0.3">
      <c r="G59" s="29"/>
      <c r="H59" s="29"/>
    </row>
    <row r="60" spans="3:9" ht="24.95" customHeight="1" thickBot="1" x14ac:dyDescent="0.3">
      <c r="C60" s="183" t="s">
        <v>215</v>
      </c>
      <c r="D60" s="184"/>
      <c r="E60" s="184"/>
      <c r="F60" s="184"/>
      <c r="G60" s="184"/>
      <c r="H60" s="184"/>
      <c r="I60" s="185"/>
    </row>
    <row r="61" spans="3:9" ht="15" customHeight="1" x14ac:dyDescent="0.25">
      <c r="G61" s="29"/>
      <c r="H61" s="29"/>
    </row>
  </sheetData>
  <mergeCells count="4">
    <mergeCell ref="C3:I3"/>
    <mergeCell ref="C60:I60"/>
    <mergeCell ref="H7:I7"/>
    <mergeCell ref="H16:I16"/>
  </mergeCells>
  <pageMargins left="1" right="0.25" top="0.5" bottom="0.25" header="0" footer="0"/>
  <pageSetup scale="96" orientation="portrait" r:id="rId1"/>
  <rowBreaks count="1" manualBreakCount="1">
    <brk id="48" min="2" max="8" man="1"/>
  </rowBreaks>
  <ignoredErrors>
    <ignoredError sqref="I3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34"/>
  <sheetViews>
    <sheetView topLeftCell="A27" zoomScale="125" zoomScaleNormal="125" workbookViewId="0">
      <selection activeCell="B8" sqref="B8"/>
    </sheetView>
  </sheetViews>
  <sheetFormatPr defaultColWidth="8.85546875" defaultRowHeight="15" x14ac:dyDescent="0.25"/>
  <cols>
    <col min="1" max="1" width="3.7109375" style="1" customWidth="1"/>
    <col min="2" max="2" width="30.7109375" style="1" customWidth="1"/>
    <col min="3" max="3" width="1.7109375" style="1" customWidth="1"/>
    <col min="4" max="4" width="25.7109375" style="1" customWidth="1"/>
    <col min="5" max="5" width="1.7109375" style="1" customWidth="1"/>
    <col min="6" max="6" width="20.7109375" style="1" customWidth="1"/>
    <col min="7" max="7" width="1.7109375" style="1" customWidth="1"/>
    <col min="8" max="8" width="20.7109375" style="1" customWidth="1"/>
    <col min="9" max="9" width="1.7109375" style="1" customWidth="1"/>
    <col min="10" max="10" width="20.7109375" style="1" customWidth="1"/>
    <col min="11" max="11" width="1.7109375" style="1" customWidth="1"/>
    <col min="12" max="12" width="20.7109375" style="1" customWidth="1"/>
    <col min="13" max="16" width="8.85546875" style="1"/>
    <col min="17" max="23" width="10.7109375" style="1" customWidth="1"/>
    <col min="24" max="16384" width="8.85546875" style="1"/>
  </cols>
  <sheetData>
    <row r="2" spans="2:23" x14ac:dyDescent="0.25">
      <c r="B2" s="52" t="s">
        <v>17</v>
      </c>
      <c r="C2" s="17"/>
      <c r="D2" s="53" t="s">
        <v>22</v>
      </c>
      <c r="E2" s="17"/>
      <c r="F2" s="54" t="s">
        <v>131</v>
      </c>
      <c r="G2" s="17"/>
      <c r="H2" s="55" t="s">
        <v>126</v>
      </c>
      <c r="I2" s="17"/>
      <c r="J2" s="56" t="s">
        <v>53</v>
      </c>
      <c r="K2" s="17"/>
      <c r="L2" s="57" t="s">
        <v>113</v>
      </c>
      <c r="P2" s="187" t="s">
        <v>163</v>
      </c>
      <c r="Q2" s="187"/>
      <c r="R2" s="187"/>
      <c r="S2" s="187"/>
      <c r="T2" s="187"/>
      <c r="U2" s="187"/>
      <c r="V2" s="187"/>
      <c r="W2" s="187"/>
    </row>
    <row r="3" spans="2:23" x14ac:dyDescent="0.25">
      <c r="B3" s="58" t="s">
        <v>1</v>
      </c>
      <c r="D3" s="59" t="s">
        <v>2</v>
      </c>
      <c r="F3" s="60" t="s">
        <v>29</v>
      </c>
      <c r="H3" s="61" t="s">
        <v>128</v>
      </c>
      <c r="J3" s="62" t="s">
        <v>55</v>
      </c>
      <c r="L3" s="63">
        <v>1</v>
      </c>
      <c r="P3" s="60" t="s">
        <v>149</v>
      </c>
      <c r="Q3" s="74" t="s">
        <v>164</v>
      </c>
      <c r="R3" s="74" t="s">
        <v>165</v>
      </c>
      <c r="S3" s="74" t="s">
        <v>166</v>
      </c>
      <c r="T3" s="74" t="s">
        <v>167</v>
      </c>
      <c r="U3" s="74" t="s">
        <v>168</v>
      </c>
      <c r="V3" s="74" t="s">
        <v>169</v>
      </c>
      <c r="W3" s="74" t="s">
        <v>170</v>
      </c>
    </row>
    <row r="4" spans="2:23" ht="15.75" thickBot="1" x14ac:dyDescent="0.3">
      <c r="B4" s="58" t="s">
        <v>6</v>
      </c>
      <c r="D4" s="59" t="s">
        <v>23</v>
      </c>
      <c r="F4" s="60" t="s">
        <v>30</v>
      </c>
      <c r="H4" s="61" t="s">
        <v>127</v>
      </c>
      <c r="J4" s="62" t="s">
        <v>56</v>
      </c>
      <c r="L4" s="63">
        <v>0.9</v>
      </c>
      <c r="P4" s="75"/>
      <c r="Q4" s="76" t="s">
        <v>171</v>
      </c>
      <c r="R4" s="76" t="s">
        <v>171</v>
      </c>
      <c r="S4" s="76" t="s">
        <v>173</v>
      </c>
      <c r="T4" s="76" t="s">
        <v>173</v>
      </c>
      <c r="U4" s="76" t="s">
        <v>172</v>
      </c>
      <c r="V4" s="76" t="s">
        <v>172</v>
      </c>
      <c r="W4" s="76" t="s">
        <v>171</v>
      </c>
    </row>
    <row r="5" spans="2:23" x14ac:dyDescent="0.25">
      <c r="B5" s="58" t="s">
        <v>202</v>
      </c>
      <c r="D5" s="59" t="s">
        <v>24</v>
      </c>
      <c r="F5" s="60" t="s">
        <v>31</v>
      </c>
      <c r="H5" s="61" t="s">
        <v>39</v>
      </c>
      <c r="J5" s="62" t="s">
        <v>57</v>
      </c>
      <c r="L5" s="63">
        <v>0.85</v>
      </c>
      <c r="P5" s="60" t="s">
        <v>150</v>
      </c>
      <c r="Q5" s="77">
        <v>3.89</v>
      </c>
      <c r="R5" s="77">
        <v>4.21</v>
      </c>
      <c r="S5" s="77">
        <v>19.3</v>
      </c>
      <c r="T5" s="77">
        <v>11.5</v>
      </c>
      <c r="U5" s="77">
        <v>225</v>
      </c>
      <c r="V5" s="77">
        <v>155</v>
      </c>
      <c r="W5" s="77">
        <v>8.5500000000000007</v>
      </c>
    </row>
    <row r="6" spans="2:23" x14ac:dyDescent="0.25">
      <c r="B6" s="58" t="s">
        <v>7</v>
      </c>
      <c r="D6" s="59" t="s">
        <v>25</v>
      </c>
      <c r="F6" s="60" t="s">
        <v>32</v>
      </c>
      <c r="H6" s="61" t="s">
        <v>40</v>
      </c>
      <c r="J6" s="62" t="s">
        <v>54</v>
      </c>
      <c r="L6" s="63">
        <v>0.8</v>
      </c>
      <c r="P6" s="60" t="s">
        <v>151</v>
      </c>
      <c r="Q6" s="77">
        <v>3.78</v>
      </c>
      <c r="R6" s="77">
        <v>4.34</v>
      </c>
      <c r="S6" s="77">
        <v>21</v>
      </c>
      <c r="T6" s="77">
        <v>11</v>
      </c>
      <c r="U6" s="77">
        <v>230</v>
      </c>
      <c r="V6" s="77">
        <v>230</v>
      </c>
      <c r="W6" s="77">
        <v>8.31</v>
      </c>
    </row>
    <row r="7" spans="2:23" x14ac:dyDescent="0.25">
      <c r="B7" s="58" t="s">
        <v>253</v>
      </c>
      <c r="D7" s="59" t="s">
        <v>26</v>
      </c>
      <c r="F7" s="60" t="s">
        <v>28</v>
      </c>
      <c r="H7" s="61" t="s">
        <v>129</v>
      </c>
      <c r="J7" s="62" t="s">
        <v>58</v>
      </c>
      <c r="L7" s="63">
        <v>0.75</v>
      </c>
      <c r="P7" s="60" t="s">
        <v>152</v>
      </c>
      <c r="Q7" s="77">
        <v>3.74</v>
      </c>
      <c r="R7" s="77">
        <v>4.28</v>
      </c>
      <c r="S7" s="77">
        <v>21.7</v>
      </c>
      <c r="T7" s="77">
        <v>10.5</v>
      </c>
      <c r="U7" s="77">
        <v>225</v>
      </c>
      <c r="V7" s="77">
        <v>225</v>
      </c>
      <c r="W7" s="77">
        <v>8.18</v>
      </c>
    </row>
    <row r="8" spans="2:23" x14ac:dyDescent="0.25">
      <c r="B8" s="58" t="s">
        <v>9</v>
      </c>
      <c r="D8" s="59" t="s">
        <v>27</v>
      </c>
      <c r="F8" s="60" t="s">
        <v>33</v>
      </c>
      <c r="H8" s="61" t="s">
        <v>41</v>
      </c>
      <c r="J8" s="62" t="s">
        <v>229</v>
      </c>
      <c r="L8" s="63">
        <v>0.67</v>
      </c>
      <c r="P8" s="60" t="s">
        <v>153</v>
      </c>
      <c r="Q8" s="77">
        <v>3.34</v>
      </c>
      <c r="R8" s="77">
        <v>4.4800000000000004</v>
      </c>
      <c r="S8" s="77">
        <v>19.5</v>
      </c>
      <c r="T8" s="77">
        <v>11</v>
      </c>
      <c r="U8" s="77">
        <v>230</v>
      </c>
      <c r="V8" s="77">
        <v>225</v>
      </c>
      <c r="W8" s="77">
        <v>8.1</v>
      </c>
    </row>
    <row r="9" spans="2:23" x14ac:dyDescent="0.25">
      <c r="B9" s="58" t="s">
        <v>247</v>
      </c>
      <c r="D9" s="59" t="s">
        <v>4</v>
      </c>
      <c r="F9" s="60" t="s">
        <v>34</v>
      </c>
      <c r="H9" s="61" t="s">
        <v>42</v>
      </c>
      <c r="J9" s="62" t="s">
        <v>3</v>
      </c>
      <c r="L9" s="63">
        <v>0.6</v>
      </c>
      <c r="P9" s="60" t="s">
        <v>154</v>
      </c>
      <c r="Q9" s="77">
        <v>3.36</v>
      </c>
      <c r="R9" s="77">
        <v>4.25</v>
      </c>
      <c r="S9" s="77">
        <v>20.5</v>
      </c>
      <c r="T9" s="77">
        <v>11.75</v>
      </c>
      <c r="U9" s="77">
        <v>230</v>
      </c>
      <c r="V9" s="77">
        <v>235</v>
      </c>
      <c r="W9" s="77">
        <v>7.88</v>
      </c>
    </row>
    <row r="10" spans="2:23" x14ac:dyDescent="0.25">
      <c r="B10" s="58" t="s">
        <v>248</v>
      </c>
      <c r="D10" s="59" t="s">
        <v>3</v>
      </c>
      <c r="F10" s="60" t="s">
        <v>35</v>
      </c>
      <c r="H10" s="61" t="s">
        <v>43</v>
      </c>
      <c r="J10" s="62" t="s">
        <v>3</v>
      </c>
      <c r="K10" s="17"/>
      <c r="L10" s="63">
        <v>0.5</v>
      </c>
      <c r="P10" s="60" t="s">
        <v>155</v>
      </c>
      <c r="Q10" s="77">
        <v>3.08</v>
      </c>
      <c r="R10" s="77">
        <v>4.3499999999999996</v>
      </c>
      <c r="S10" s="77">
        <v>22.3</v>
      </c>
      <c r="T10" s="77">
        <v>13</v>
      </c>
      <c r="U10" s="77">
        <v>225</v>
      </c>
      <c r="V10" s="77">
        <v>230</v>
      </c>
      <c r="W10" s="77">
        <v>8.14</v>
      </c>
    </row>
    <row r="11" spans="2:23" x14ac:dyDescent="0.25">
      <c r="B11" s="58" t="s">
        <v>10</v>
      </c>
      <c r="D11" s="59" t="s">
        <v>3</v>
      </c>
      <c r="F11" s="60" t="s">
        <v>36</v>
      </c>
      <c r="H11" s="61" t="s">
        <v>44</v>
      </c>
      <c r="J11" s="62" t="s">
        <v>3</v>
      </c>
      <c r="L11" s="63">
        <v>0.4</v>
      </c>
      <c r="P11" s="60" t="s">
        <v>156</v>
      </c>
      <c r="Q11" s="77">
        <v>3.46</v>
      </c>
      <c r="R11" s="77">
        <v>4.2300000000000004</v>
      </c>
      <c r="S11" s="77">
        <v>24</v>
      </c>
      <c r="T11" s="77">
        <v>15</v>
      </c>
      <c r="U11" s="77">
        <v>225</v>
      </c>
      <c r="V11" s="77">
        <v>230</v>
      </c>
      <c r="W11" s="77">
        <v>8.42</v>
      </c>
    </row>
    <row r="12" spans="2:23" x14ac:dyDescent="0.25">
      <c r="B12" s="58" t="s">
        <v>204</v>
      </c>
      <c r="D12" s="59" t="s">
        <v>3</v>
      </c>
      <c r="F12" s="60" t="s">
        <v>37</v>
      </c>
      <c r="H12" s="61" t="s">
        <v>45</v>
      </c>
      <c r="J12" s="62" t="s">
        <v>3</v>
      </c>
      <c r="L12" s="63">
        <v>0.33</v>
      </c>
      <c r="P12" s="60" t="s">
        <v>157</v>
      </c>
      <c r="Q12" s="77">
        <v>3.45</v>
      </c>
      <c r="R12" s="77">
        <v>4.04</v>
      </c>
      <c r="S12" s="77">
        <v>27.9</v>
      </c>
      <c r="T12" s="77"/>
      <c r="U12" s="77">
        <v>215</v>
      </c>
      <c r="V12" s="77">
        <v>230</v>
      </c>
      <c r="W12" s="77">
        <v>8.51</v>
      </c>
    </row>
    <row r="13" spans="2:23" x14ac:dyDescent="0.25">
      <c r="B13" s="58" t="s">
        <v>203</v>
      </c>
      <c r="F13" s="60" t="s">
        <v>136</v>
      </c>
      <c r="H13" s="61" t="s">
        <v>46</v>
      </c>
      <c r="J13" s="62" t="s">
        <v>3</v>
      </c>
      <c r="L13" s="63">
        <v>0.25</v>
      </c>
      <c r="P13" s="60" t="s">
        <v>158</v>
      </c>
      <c r="Q13" s="77">
        <v>3.55</v>
      </c>
      <c r="R13" s="77">
        <v>4.16</v>
      </c>
      <c r="S13" s="77">
        <v>25.1</v>
      </c>
      <c r="T13" s="77"/>
      <c r="U13" s="77">
        <v>190</v>
      </c>
      <c r="V13" s="77">
        <v>210</v>
      </c>
      <c r="W13" s="77">
        <v>9.02</v>
      </c>
    </row>
    <row r="14" spans="2:23" x14ac:dyDescent="0.25">
      <c r="B14" s="58" t="s">
        <v>18</v>
      </c>
      <c r="F14" s="60" t="s">
        <v>137</v>
      </c>
      <c r="H14" s="61" t="s">
        <v>230</v>
      </c>
      <c r="J14" s="62" t="s">
        <v>3</v>
      </c>
      <c r="L14" s="63">
        <v>0.2</v>
      </c>
      <c r="P14" s="60" t="s">
        <v>159</v>
      </c>
      <c r="Q14" s="77">
        <v>4.18</v>
      </c>
      <c r="R14" s="77">
        <v>4.75</v>
      </c>
      <c r="S14" s="77">
        <v>17.8</v>
      </c>
      <c r="T14" s="77"/>
      <c r="U14" s="77">
        <v>200</v>
      </c>
      <c r="V14" s="77">
        <v>215</v>
      </c>
      <c r="W14" s="77">
        <v>9.5299999999999994</v>
      </c>
    </row>
    <row r="15" spans="2:23" x14ac:dyDescent="0.25">
      <c r="B15" s="58" t="s">
        <v>15</v>
      </c>
      <c r="F15" s="60" t="s">
        <v>38</v>
      </c>
      <c r="H15" s="61" t="s">
        <v>232</v>
      </c>
      <c r="L15" s="63">
        <v>0.1</v>
      </c>
      <c r="P15" s="60" t="s">
        <v>160</v>
      </c>
      <c r="Q15" s="77">
        <v>4.04</v>
      </c>
      <c r="R15" s="77">
        <v>4.9800000000000004</v>
      </c>
      <c r="S15" s="77">
        <v>17.100000000000001</v>
      </c>
      <c r="T15" s="77"/>
      <c r="U15" s="77">
        <v>190</v>
      </c>
      <c r="V15" s="77">
        <v>205</v>
      </c>
      <c r="W15" s="77">
        <v>10.4</v>
      </c>
    </row>
    <row r="16" spans="2:23" ht="15.75" thickBot="1" x14ac:dyDescent="0.3">
      <c r="B16" s="58" t="s">
        <v>223</v>
      </c>
      <c r="F16" s="60" t="s">
        <v>224</v>
      </c>
      <c r="H16" s="61" t="s">
        <v>3</v>
      </c>
      <c r="J16" s="64" t="s">
        <v>59</v>
      </c>
      <c r="L16" s="63">
        <v>0.05</v>
      </c>
      <c r="P16" s="78" t="s">
        <v>161</v>
      </c>
      <c r="Q16" s="79">
        <v>4.16</v>
      </c>
      <c r="R16" s="79">
        <v>5.21</v>
      </c>
      <c r="S16" s="79">
        <v>17.399999999999999</v>
      </c>
      <c r="T16" s="79"/>
      <c r="U16" s="79">
        <v>205</v>
      </c>
      <c r="V16" s="79">
        <v>215</v>
      </c>
      <c r="W16" s="79">
        <v>10.9</v>
      </c>
    </row>
    <row r="17" spans="2:23" ht="15.75" thickTop="1" x14ac:dyDescent="0.25">
      <c r="B17" s="58" t="s">
        <v>63</v>
      </c>
      <c r="F17" s="60" t="s">
        <v>3</v>
      </c>
      <c r="J17" s="65" t="s">
        <v>60</v>
      </c>
      <c r="K17" s="17"/>
      <c r="L17" s="63">
        <v>0</v>
      </c>
      <c r="P17" s="60" t="s">
        <v>162</v>
      </c>
      <c r="Q17" s="77">
        <v>3.67</v>
      </c>
      <c r="R17" s="77">
        <v>4.4400000000000004</v>
      </c>
      <c r="S17" s="77">
        <v>21.13</v>
      </c>
      <c r="T17" s="77">
        <v>11.96</v>
      </c>
      <c r="U17" s="77">
        <v>215.83</v>
      </c>
      <c r="V17" s="77">
        <v>217.08</v>
      </c>
      <c r="W17" s="77">
        <v>8.83</v>
      </c>
    </row>
    <row r="18" spans="2:23" x14ac:dyDescent="0.25">
      <c r="B18" s="58" t="s">
        <v>11</v>
      </c>
      <c r="F18" s="60" t="s">
        <v>3</v>
      </c>
      <c r="J18" s="65" t="s">
        <v>61</v>
      </c>
      <c r="L18" s="63" t="s">
        <v>3</v>
      </c>
    </row>
    <row r="19" spans="2:23" x14ac:dyDescent="0.25">
      <c r="B19" s="58" t="s">
        <v>12</v>
      </c>
      <c r="J19" s="65" t="s">
        <v>208</v>
      </c>
    </row>
    <row r="20" spans="2:23" x14ac:dyDescent="0.25">
      <c r="B20" s="58" t="s">
        <v>13</v>
      </c>
      <c r="J20" s="65" t="s">
        <v>62</v>
      </c>
      <c r="P20" s="188" t="s">
        <v>174</v>
      </c>
      <c r="Q20" s="188"/>
      <c r="R20" s="188"/>
    </row>
    <row r="21" spans="2:23" x14ac:dyDescent="0.25">
      <c r="B21" s="58" t="s">
        <v>206</v>
      </c>
      <c r="F21" s="56" t="s">
        <v>47</v>
      </c>
      <c r="H21" s="52" t="s">
        <v>189</v>
      </c>
      <c r="J21" s="65" t="s">
        <v>209</v>
      </c>
      <c r="L21" s="66" t="s">
        <v>130</v>
      </c>
      <c r="P21" s="80" t="s">
        <v>177</v>
      </c>
      <c r="Q21" s="80" t="s">
        <v>175</v>
      </c>
      <c r="R21" s="80" t="s">
        <v>176</v>
      </c>
    </row>
    <row r="22" spans="2:23" x14ac:dyDescent="0.25">
      <c r="B22" s="58" t="s">
        <v>14</v>
      </c>
      <c r="F22" s="68" t="s">
        <v>132</v>
      </c>
      <c r="H22" s="85" t="s">
        <v>190</v>
      </c>
      <c r="J22" s="65" t="s">
        <v>211</v>
      </c>
      <c r="K22" s="17"/>
      <c r="L22" s="67" t="s">
        <v>65</v>
      </c>
      <c r="P22" s="81">
        <v>350</v>
      </c>
      <c r="Q22" s="81">
        <v>47</v>
      </c>
      <c r="R22" s="81">
        <v>105</v>
      </c>
    </row>
    <row r="23" spans="2:23" x14ac:dyDescent="0.25">
      <c r="B23" s="58" t="s">
        <v>16</v>
      </c>
      <c r="D23" s="64" t="s">
        <v>114</v>
      </c>
      <c r="F23" s="68" t="s">
        <v>133</v>
      </c>
      <c r="H23" s="85" t="s">
        <v>191</v>
      </c>
      <c r="J23" s="65" t="s">
        <v>228</v>
      </c>
      <c r="L23" s="67" t="s">
        <v>66</v>
      </c>
    </row>
    <row r="24" spans="2:23" x14ac:dyDescent="0.25">
      <c r="B24" s="58" t="s">
        <v>205</v>
      </c>
      <c r="D24" s="65" t="s">
        <v>115</v>
      </c>
      <c r="F24" s="68" t="s">
        <v>134</v>
      </c>
      <c r="H24" s="85" t="s">
        <v>29</v>
      </c>
      <c r="J24" s="65" t="s">
        <v>3</v>
      </c>
      <c r="L24" s="67" t="s">
        <v>67</v>
      </c>
    </row>
    <row r="25" spans="2:23" x14ac:dyDescent="0.25">
      <c r="B25" s="58" t="s">
        <v>21</v>
      </c>
      <c r="D25" s="65" t="s">
        <v>116</v>
      </c>
      <c r="F25" s="68" t="s">
        <v>3</v>
      </c>
      <c r="H25" s="85" t="s">
        <v>30</v>
      </c>
      <c r="L25" s="67" t="s">
        <v>227</v>
      </c>
    </row>
    <row r="26" spans="2:23" x14ac:dyDescent="0.25">
      <c r="B26" s="58" t="s">
        <v>20</v>
      </c>
      <c r="D26" s="65" t="s">
        <v>207</v>
      </c>
      <c r="F26" s="68" t="s">
        <v>3</v>
      </c>
      <c r="H26" s="85" t="s">
        <v>31</v>
      </c>
      <c r="L26" s="67" t="s">
        <v>3</v>
      </c>
    </row>
    <row r="27" spans="2:23" x14ac:dyDescent="0.25">
      <c r="B27" s="58" t="s">
        <v>213</v>
      </c>
      <c r="D27" s="65" t="s">
        <v>117</v>
      </c>
      <c r="F27" s="68" t="s">
        <v>3</v>
      </c>
      <c r="H27" s="85" t="s">
        <v>32</v>
      </c>
    </row>
    <row r="28" spans="2:23" x14ac:dyDescent="0.25">
      <c r="B28" s="58" t="s">
        <v>218</v>
      </c>
      <c r="D28" s="65" t="s">
        <v>118</v>
      </c>
      <c r="H28" s="85" t="s">
        <v>28</v>
      </c>
      <c r="J28" s="71" t="s">
        <v>180</v>
      </c>
    </row>
    <row r="29" spans="2:23" x14ac:dyDescent="0.25">
      <c r="B29" s="58" t="s">
        <v>245</v>
      </c>
      <c r="D29" s="65" t="s">
        <v>112</v>
      </c>
      <c r="F29" s="69" t="s">
        <v>48</v>
      </c>
      <c r="H29" s="85" t="s">
        <v>33</v>
      </c>
      <c r="J29" s="72" t="s">
        <v>178</v>
      </c>
      <c r="L29" s="66" t="s">
        <v>64</v>
      </c>
    </row>
    <row r="30" spans="2:23" x14ac:dyDescent="0.25">
      <c r="B30" s="58" t="s">
        <v>19</v>
      </c>
      <c r="D30" s="65" t="s">
        <v>119</v>
      </c>
      <c r="F30" s="70" t="s">
        <v>48</v>
      </c>
      <c r="H30" s="85" t="s">
        <v>35</v>
      </c>
      <c r="J30" s="72" t="s">
        <v>179</v>
      </c>
      <c r="L30" s="67" t="s">
        <v>65</v>
      </c>
    </row>
    <row r="31" spans="2:23" x14ac:dyDescent="0.25">
      <c r="B31" s="58" t="s">
        <v>3</v>
      </c>
      <c r="D31" s="65" t="s">
        <v>120</v>
      </c>
      <c r="F31" s="70" t="s">
        <v>135</v>
      </c>
      <c r="H31" s="85" t="s">
        <v>192</v>
      </c>
      <c r="J31" s="72" t="s">
        <v>186</v>
      </c>
      <c r="L31" s="67" t="s">
        <v>66</v>
      </c>
    </row>
    <row r="32" spans="2:23" x14ac:dyDescent="0.25">
      <c r="B32" s="58" t="s">
        <v>3</v>
      </c>
      <c r="D32" s="65" t="s">
        <v>121</v>
      </c>
      <c r="F32" s="70" t="s">
        <v>3</v>
      </c>
      <c r="H32" s="85" t="s">
        <v>136</v>
      </c>
      <c r="J32" s="72" t="s">
        <v>148</v>
      </c>
      <c r="L32" s="67" t="s">
        <v>67</v>
      </c>
    </row>
    <row r="33" spans="2:12" x14ac:dyDescent="0.25">
      <c r="B33" s="58" t="s">
        <v>3</v>
      </c>
      <c r="D33" s="65" t="s">
        <v>122</v>
      </c>
      <c r="F33" s="70" t="s">
        <v>3</v>
      </c>
      <c r="H33" s="85" t="s">
        <v>137</v>
      </c>
      <c r="J33" s="72" t="s">
        <v>3</v>
      </c>
      <c r="L33" s="67" t="s">
        <v>227</v>
      </c>
    </row>
    <row r="34" spans="2:12" x14ac:dyDescent="0.25">
      <c r="B34" s="58" t="s">
        <v>3</v>
      </c>
      <c r="D34" s="65" t="s">
        <v>3</v>
      </c>
      <c r="F34" s="70" t="s">
        <v>3</v>
      </c>
      <c r="H34" s="85" t="s">
        <v>3</v>
      </c>
      <c r="J34" s="72" t="s">
        <v>3</v>
      </c>
      <c r="L34" s="67" t="s">
        <v>3</v>
      </c>
    </row>
  </sheetData>
  <mergeCells count="2">
    <mergeCell ref="P2:W2"/>
    <mergeCell ref="P20:R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 Page</vt:lpstr>
      <vt:lpstr>Summary Budget</vt:lpstr>
      <vt:lpstr>Data</vt:lpstr>
      <vt:lpstr>'Summary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Tranel,Jeffrey</cp:lastModifiedBy>
  <cp:lastPrinted>2024-04-01T19:58:52Z</cp:lastPrinted>
  <dcterms:created xsi:type="dcterms:W3CDTF">2015-09-28T06:16:37Z</dcterms:created>
  <dcterms:modified xsi:type="dcterms:W3CDTF">2024-04-04T17:32:05Z</dcterms:modified>
</cp:coreProperties>
</file>