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3 - ABM\Decison Tools\"/>
    </mc:Choice>
  </mc:AlternateContent>
  <xr:revisionPtr revIDLastSave="0" documentId="13_ncr:1_{A70FAA30-B6F3-4073-BF12-456B5FA62ACB}" xr6:coauthVersionLast="47" xr6:coauthVersionMax="47" xr10:uidLastSave="{00000000-0000-0000-0000-000000000000}"/>
  <bookViews>
    <workbookView xWindow="-108" yWindow="-108" windowWidth="23256" windowHeight="12576" tabRatio="644" xr2:uid="{00000000-000D-0000-FFFF-FFFF00000000}"/>
  </bookViews>
  <sheets>
    <sheet name="Input" sheetId="23" r:id="rId1"/>
    <sheet name="Computations" sheetId="24" r:id="rId2"/>
  </sheets>
  <definedNames>
    <definedName name="_xlnm.Print_Area" localSheetId="1">Computations!$B$2:$N$31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24" l="1"/>
  <c r="C26" i="24"/>
  <c r="C27" i="24" s="1"/>
  <c r="P14" i="24"/>
  <c r="P13" i="24"/>
  <c r="P12" i="24"/>
  <c r="P11" i="24"/>
  <c r="P10" i="24"/>
  <c r="P8" i="24"/>
  <c r="J21" i="24"/>
  <c r="I21" i="24"/>
  <c r="H21" i="24"/>
  <c r="G21" i="24"/>
  <c r="F21" i="24"/>
  <c r="E21" i="24"/>
  <c r="D21" i="24"/>
  <c r="C21" i="24"/>
  <c r="J17" i="24"/>
  <c r="I17" i="24"/>
  <c r="H17" i="24"/>
  <c r="G17" i="24"/>
  <c r="F17" i="24"/>
  <c r="E17" i="24"/>
  <c r="D17" i="24"/>
  <c r="C17" i="24"/>
  <c r="J13" i="24"/>
  <c r="I13" i="24"/>
  <c r="H13" i="24"/>
  <c r="G13" i="24"/>
  <c r="F13" i="24"/>
  <c r="E13" i="24"/>
  <c r="D13" i="24"/>
  <c r="C13" i="24"/>
  <c r="J12" i="24"/>
  <c r="I12" i="24"/>
  <c r="H12" i="24"/>
  <c r="G12" i="24"/>
  <c r="F12" i="24"/>
  <c r="E12" i="24"/>
  <c r="D12" i="24"/>
  <c r="C12" i="24"/>
  <c r="J7" i="24"/>
  <c r="I7" i="24"/>
  <c r="H7" i="24"/>
  <c r="G7" i="24"/>
  <c r="F7" i="24"/>
  <c r="E7" i="24"/>
  <c r="D7" i="24"/>
  <c r="J8" i="24"/>
  <c r="I8" i="24"/>
  <c r="H8" i="24"/>
  <c r="G8" i="24"/>
  <c r="F8" i="24"/>
  <c r="E8" i="24"/>
  <c r="D8" i="24"/>
  <c r="C7" i="24"/>
  <c r="C8" i="24"/>
  <c r="G10" i="23"/>
  <c r="D17" i="23"/>
  <c r="D11" i="23"/>
  <c r="H20" i="24" s="1"/>
  <c r="G19" i="23"/>
  <c r="G14" i="23"/>
  <c r="G18" i="23" s="1"/>
  <c r="D26" i="24" l="1"/>
  <c r="H22" i="24"/>
  <c r="G20" i="24"/>
  <c r="G22" i="24" s="1"/>
  <c r="F6" i="24"/>
  <c r="F9" i="24" s="1"/>
  <c r="C20" i="24"/>
  <c r="C22" i="24" s="1"/>
  <c r="J20" i="24"/>
  <c r="J22" i="24" s="1"/>
  <c r="C6" i="24"/>
  <c r="C9" i="24" s="1"/>
  <c r="H6" i="24"/>
  <c r="H9" i="24" s="1"/>
  <c r="D20" i="24"/>
  <c r="D22" i="24" s="1"/>
  <c r="I6" i="24"/>
  <c r="I9" i="24" s="1"/>
  <c r="E20" i="24"/>
  <c r="E22" i="24" s="1"/>
  <c r="E6" i="24"/>
  <c r="E9" i="24" s="1"/>
  <c r="I20" i="24"/>
  <c r="I22" i="24" s="1"/>
  <c r="G6" i="24"/>
  <c r="G9" i="24" s="1"/>
  <c r="J6" i="24"/>
  <c r="J9" i="24" s="1"/>
  <c r="F20" i="24"/>
  <c r="F22" i="24" s="1"/>
  <c r="D6" i="24"/>
  <c r="D9" i="24" s="1"/>
  <c r="D18" i="23"/>
  <c r="G20" i="23"/>
  <c r="N9" i="24" l="1"/>
  <c r="L9" i="24"/>
  <c r="M9" i="24"/>
  <c r="N22" i="24"/>
  <c r="M22" i="24"/>
  <c r="L22" i="24"/>
  <c r="D27" i="24"/>
  <c r="E26" i="24"/>
  <c r="J11" i="24"/>
  <c r="J14" i="24" s="1"/>
  <c r="H11" i="24"/>
  <c r="H14" i="24" s="1"/>
  <c r="E11" i="24"/>
  <c r="E14" i="24" s="1"/>
  <c r="G11" i="24"/>
  <c r="G14" i="24" s="1"/>
  <c r="C11" i="24"/>
  <c r="C14" i="24" s="1"/>
  <c r="F11" i="24"/>
  <c r="F14" i="24" s="1"/>
  <c r="I11" i="24"/>
  <c r="I14" i="24" s="1"/>
  <c r="D11" i="24"/>
  <c r="D14" i="24" s="1"/>
  <c r="I16" i="24"/>
  <c r="I18" i="24" s="1"/>
  <c r="G16" i="24"/>
  <c r="G18" i="24" s="1"/>
  <c r="D16" i="24"/>
  <c r="D18" i="24" s="1"/>
  <c r="J16" i="24"/>
  <c r="J18" i="24" s="1"/>
  <c r="C16" i="24"/>
  <c r="C18" i="24" s="1"/>
  <c r="F16" i="24"/>
  <c r="F18" i="24" s="1"/>
  <c r="E16" i="24"/>
  <c r="E18" i="24" s="1"/>
  <c r="H16" i="24"/>
  <c r="H18" i="24" s="1"/>
  <c r="E24" i="24" l="1"/>
  <c r="F24" i="24"/>
  <c r="M18" i="24"/>
  <c r="L18" i="24"/>
  <c r="N18" i="24"/>
  <c r="N14" i="24"/>
  <c r="M14" i="24"/>
  <c r="L14" i="24"/>
  <c r="N26" i="24"/>
  <c r="G24" i="24"/>
  <c r="D24" i="24"/>
  <c r="D29" i="24" s="1"/>
  <c r="D30" i="24" s="1"/>
  <c r="J24" i="24"/>
  <c r="I24" i="24"/>
  <c r="F26" i="24"/>
  <c r="E27" i="24"/>
  <c r="C24" i="24"/>
  <c r="C29" i="24" s="1"/>
  <c r="H24" i="24"/>
  <c r="E29" i="24" l="1"/>
  <c r="E30" i="24" s="1"/>
  <c r="N27" i="24"/>
  <c r="C30" i="24"/>
  <c r="G26" i="24"/>
  <c r="M26" i="24" s="1"/>
  <c r="F27" i="24"/>
  <c r="F29" i="24" s="1"/>
  <c r="F30" i="24" s="1"/>
  <c r="K21" i="23" l="1"/>
  <c r="N29" i="24"/>
  <c r="N30" i="24"/>
  <c r="H26" i="24"/>
  <c r="G27" i="24"/>
  <c r="G29" i="24" l="1"/>
  <c r="M27" i="24"/>
  <c r="I26" i="24"/>
  <c r="H27" i="24"/>
  <c r="H29" i="24" s="1"/>
  <c r="H30" i="24" s="1"/>
  <c r="G30" i="24" l="1"/>
  <c r="M29" i="24"/>
  <c r="J26" i="24"/>
  <c r="I27" i="24"/>
  <c r="I29" i="24" s="1"/>
  <c r="I30" i="24" s="1"/>
  <c r="K19" i="23" l="1"/>
  <c r="J27" i="24"/>
  <c r="L26" i="24"/>
  <c r="M30" i="24"/>
  <c r="J29" i="24" l="1"/>
  <c r="L27" i="24"/>
  <c r="J30" i="24" l="1"/>
  <c r="K17" i="23" s="1"/>
  <c r="L29" i="24"/>
  <c r="L30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Tranel,Jeffrey</author>
  </authors>
  <commentList>
    <comment ref="D9" authorId="0" shapeId="0" xr:uid="{21C61B56-C657-428A-A37F-55F393B20905}">
      <text>
        <r>
          <rPr>
            <sz val="11"/>
            <color indexed="81"/>
            <rFont val="Tahoma"/>
            <family val="2"/>
          </rPr>
          <t>Enter the number of females in the herd exposed to a bull and/or bred via artificial insemination.</t>
        </r>
      </text>
    </comment>
    <comment ref="D10" authorId="0" shapeId="0" xr:uid="{0352BD02-3FFB-48B0-AA9F-4054B8420BFB}">
      <text>
        <r>
          <rPr>
            <sz val="11"/>
            <color indexed="81"/>
            <rFont val="Tahoma"/>
            <family val="2"/>
          </rPr>
          <t>Enter the percentage of females in the herd which will be replaced each year.</t>
        </r>
      </text>
    </comment>
    <comment ref="D12" authorId="0" shapeId="0" xr:uid="{C9798016-49E0-4D92-8BD1-FEA801C972AA}">
      <text>
        <r>
          <rPr>
            <sz val="11"/>
            <color indexed="81"/>
            <rFont val="Tahoma"/>
            <family val="2"/>
          </rPr>
          <t>Enter the average dollar amount (net sale value) for each culled breeding female sold.
This value will be held constant for each of the eight years.</t>
        </r>
      </text>
    </comment>
    <comment ref="D13" authorId="0" shapeId="0" xr:uid="{97373A5A-03B7-4F25-8785-D3AB1F5369AD}">
      <text>
        <r>
          <rPr>
            <sz val="12"/>
            <color indexed="81"/>
            <rFont val="Tahoma"/>
            <family val="2"/>
          </rPr>
          <t>Enter the annual costs (on a per animal basis) to run each cow in the herd.</t>
        </r>
      </text>
    </comment>
    <comment ref="D14" authorId="0" shapeId="0" xr:uid="{AEB2B9FB-F98B-4C32-A381-089B65D5CBC4}">
      <text>
        <r>
          <rPr>
            <sz val="11"/>
            <color indexed="81"/>
            <rFont val="Tahoma"/>
            <family val="2"/>
          </rPr>
          <t>Enter a percentage increase for annual cow costs. The number will be held constant for all years in the analysis.</t>
        </r>
      </text>
    </comment>
    <comment ref="D16" authorId="0" shapeId="0" xr:uid="{C0C85BB4-AE26-42DE-BBF7-8561EF16F77A}">
      <text>
        <r>
          <rPr>
            <sz val="11"/>
            <color indexed="81"/>
            <rFont val="Tahoma"/>
            <family val="2"/>
          </rPr>
          <t>Enter the percentage of replacement heifers that will be retained as replacement breeding females.
This is not the number of replacement heifers needed to replace the culled cows.</t>
        </r>
      </text>
    </comment>
    <comment ref="D19" authorId="0" shapeId="0" xr:uid="{1C686368-4AE5-4A07-9952-AA2B83FB4E27}">
      <text>
        <r>
          <rPr>
            <sz val="11"/>
            <color indexed="81"/>
            <rFont val="Tahoma"/>
            <family val="2"/>
          </rPr>
          <t>Enter the value (net sale price per head) of replacement heifers that are to be sold.</t>
        </r>
      </text>
    </comment>
    <comment ref="D21" authorId="0" shapeId="0" xr:uid="{7804CB8D-3317-442E-A855-99F74B03FF06}">
      <text>
        <r>
          <rPr>
            <sz val="11"/>
            <color indexed="81"/>
            <rFont val="Tahoma"/>
            <family val="2"/>
          </rPr>
          <t>Enter a desired return on investment.</t>
        </r>
      </text>
    </comment>
  </commentList>
</comments>
</file>

<file path=xl/sharedStrings.xml><?xml version="1.0" encoding="utf-8"?>
<sst xmlns="http://schemas.openxmlformats.org/spreadsheetml/2006/main" count="67" uniqueCount="55">
  <si>
    <t>Steers</t>
  </si>
  <si>
    <t>Heifers</t>
  </si>
  <si>
    <t>Price</t>
  </si>
  <si>
    <t>Weight</t>
  </si>
  <si>
    <t>Year</t>
  </si>
  <si>
    <t>Actual Weaning Rate</t>
  </si>
  <si>
    <t>Weaned Calves as Steers</t>
  </si>
  <si>
    <t>Average Weight at Weaning (lbs/hd)</t>
  </si>
  <si>
    <t>Number Retained (head)</t>
  </si>
  <si>
    <t>Number Weaned (head)</t>
  </si>
  <si>
    <t>Number to be Sold (head)</t>
  </si>
  <si>
    <t>Cows:</t>
  </si>
  <si>
    <t>Number in Herd (head)</t>
  </si>
  <si>
    <t>Replacement Rate</t>
  </si>
  <si>
    <t>Salvage Value (per cow)</t>
  </si>
  <si>
    <t>Replacement Heifers:</t>
  </si>
  <si>
    <t>Retention Rate</t>
  </si>
  <si>
    <t>Number (head)</t>
  </si>
  <si>
    <t>Number of Heifers Culled as Yearlings (head)</t>
  </si>
  <si>
    <t>Calves:</t>
  </si>
  <si>
    <t>Total Number Weaned (head)</t>
  </si>
  <si>
    <t>ASSUMPTIONS FOR COW HERD</t>
  </si>
  <si>
    <t>OUTLOOK FOR CALF PRICES</t>
  </si>
  <si>
    <t>Year 1</t>
  </si>
  <si>
    <t>Year 2</t>
  </si>
  <si>
    <t>Year 3</t>
  </si>
  <si>
    <t>Year 4-8</t>
  </si>
  <si>
    <t>Average Annual "Cow Costs" (per head)</t>
  </si>
  <si>
    <t>Head Sold</t>
  </si>
  <si>
    <t>Total Income</t>
  </si>
  <si>
    <t>Weaned Heifers:</t>
  </si>
  <si>
    <t>Weaned Steers:</t>
  </si>
  <si>
    <t>Culled Yearling Heifers:</t>
  </si>
  <si>
    <t>Value Per Head</t>
  </si>
  <si>
    <t>Culled Cows:</t>
  </si>
  <si>
    <t>Total Revenues</t>
  </si>
  <si>
    <t>Annual Increase in "Cow Costs"</t>
  </si>
  <si>
    <t>Annual Cow Costs</t>
  </si>
  <si>
    <t>Total Annual Cow Costs</t>
  </si>
  <si>
    <t>Desired Return on Investment</t>
  </si>
  <si>
    <t>Pre-Tax Profits (total)</t>
  </si>
  <si>
    <t>Pre-Tax Profits (per cow)</t>
  </si>
  <si>
    <t>Total</t>
  </si>
  <si>
    <t>How Much Can You Afford to Pay?</t>
  </si>
  <si>
    <t>8-Year Productive Life</t>
  </si>
  <si>
    <t>5-Year Productive Life</t>
  </si>
  <si>
    <t>3-Year Productive Life</t>
  </si>
  <si>
    <t>Authors:  Jeffrey E. Tranel, Jenny Beiermann, and R. Brent Young</t>
  </si>
  <si>
    <t>Heifer Calves:</t>
  </si>
  <si>
    <t>Steer Calves:</t>
  </si>
  <si>
    <t>Value of Heifers Culled as Yearlings (per head)</t>
  </si>
  <si>
    <r>
      <t xml:space="preserve">What Can You Afford to Pay for a Bred Beef Cow? </t>
    </r>
    <r>
      <rPr>
        <sz val="12"/>
        <color rgb="FF008000"/>
        <rFont val="Arial Rounded MT Bold"/>
        <family val="2"/>
      </rPr>
      <t>v23.9</t>
    </r>
  </si>
  <si>
    <t xml:space="preserve">8 Yrs  </t>
  </si>
  <si>
    <t xml:space="preserve">5 Yrs  </t>
  </si>
  <si>
    <t xml:space="preserve">3 Yrs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</si>
</sst>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_);[Red]\(0.00\)"/>
    <numFmt numFmtId="167" formatCode="0.0000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Arial"/>
      <family val="2"/>
    </font>
    <font>
      <sz val="16"/>
      <color rgb="FF008000"/>
      <name val="Arial Rounded MT Bold"/>
      <family val="2"/>
    </font>
    <font>
      <b/>
      <sz val="11"/>
      <name val="Calibri"/>
      <family val="2"/>
      <scheme val="minor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sz val="12"/>
      <color rgb="FF008000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9" fontId="3" fillId="2" borderId="11" xfId="1" applyFont="1" applyFill="1" applyBorder="1" applyAlignment="1" applyProtection="1">
      <alignment horizontal="center" vertical="center"/>
      <protection locked="0"/>
    </xf>
    <xf numFmtId="165" fontId="3" fillId="2" borderId="11" xfId="0" applyNumberFormat="1" applyFont="1" applyFill="1" applyBorder="1" applyAlignment="1" applyProtection="1">
      <alignment horizontal="center" vertical="center"/>
      <protection locked="0"/>
    </xf>
    <xf numFmtId="38" fontId="3" fillId="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7" fontId="6" fillId="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2"/>
    </xf>
    <xf numFmtId="38" fontId="2" fillId="3" borderId="0" xfId="0" applyNumberFormat="1" applyFont="1" applyFill="1" applyAlignment="1">
      <alignment vertical="center"/>
    </xf>
    <xf numFmtId="0" fontId="2" fillId="3" borderId="5" xfId="0" applyFont="1" applyFill="1" applyBorder="1" applyAlignment="1">
      <alignment horizontal="left" vertical="center" indent="2"/>
    </xf>
    <xf numFmtId="40" fontId="2" fillId="3" borderId="5" xfId="0" applyNumberFormat="1" applyFont="1" applyFill="1" applyBorder="1" applyAlignment="1">
      <alignment vertical="center"/>
    </xf>
    <xf numFmtId="38" fontId="2" fillId="3" borderId="5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38" fontId="2" fillId="4" borderId="0" xfId="0" applyNumberFormat="1" applyFont="1" applyFill="1" applyAlignment="1">
      <alignment vertical="center"/>
    </xf>
    <xf numFmtId="167" fontId="2" fillId="5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6" borderId="8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0" borderId="0" xfId="1" applyFont="1" applyBorder="1" applyAlignment="1" applyProtection="1">
      <alignment vertical="center"/>
    </xf>
    <xf numFmtId="38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38" fontId="2" fillId="3" borderId="7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38" fontId="5" fillId="3" borderId="0" xfId="0" applyNumberFormat="1" applyFont="1" applyFill="1" applyAlignment="1">
      <alignment vertical="center"/>
    </xf>
    <xf numFmtId="166" fontId="5" fillId="3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6" fontId="9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7" fillId="5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6" fontId="9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8000"/>
      <color rgb="FFFFFFCC"/>
      <color rgb="FF0000FF"/>
      <color rgb="FF006600"/>
      <color rgb="FF00FF00"/>
      <color rgb="FF00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190499</xdr:rowOff>
    </xdr:from>
    <xdr:to>
      <xdr:col>8</xdr:col>
      <xdr:colOff>0</xdr:colOff>
      <xdr:row>4</xdr:row>
      <xdr:rowOff>896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D5E3D6-35FF-1F3D-6BB2-860C5F01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190499"/>
          <a:ext cx="6568440" cy="1136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00F7-0AEA-4DA2-B246-CE6AA8A41B90}">
  <dimension ref="B2:N25"/>
  <sheetViews>
    <sheetView showGridLines="0" showRowColHeaders="0" tabSelected="1" workbookViewId="0">
      <selection activeCell="D9" sqref="D9"/>
    </sheetView>
  </sheetViews>
  <sheetFormatPr defaultRowHeight="15" customHeight="1" x14ac:dyDescent="0.25"/>
  <cols>
    <col min="1" max="1" width="4.77734375" style="1" customWidth="1"/>
    <col min="2" max="2" width="0.88671875" style="1" customWidth="1"/>
    <col min="3" max="3" width="40.77734375" style="1" customWidth="1"/>
    <col min="4" max="4" width="8.88671875" style="1"/>
    <col min="5" max="5" width="2.77734375" style="1" customWidth="1"/>
    <col min="6" max="6" width="32.77734375" style="1" customWidth="1"/>
    <col min="7" max="7" width="8.88671875" style="1"/>
    <col min="8" max="8" width="0.88671875" style="1" customWidth="1"/>
    <col min="9" max="9" width="4.77734375" style="1" customWidth="1"/>
    <col min="10" max="10" width="0.88671875" style="1" customWidth="1"/>
    <col min="11" max="13" width="13.77734375" style="1" customWidth="1"/>
    <col min="14" max="14" width="0.88671875" style="1" customWidth="1"/>
    <col min="15" max="16384" width="8.88671875" style="1"/>
  </cols>
  <sheetData>
    <row r="2" spans="2:14" ht="40.049999999999997" customHeight="1" x14ac:dyDescent="0.25">
      <c r="K2" s="60" t="s">
        <v>51</v>
      </c>
      <c r="L2" s="60"/>
      <c r="M2" s="60"/>
    </row>
    <row r="3" spans="2:14" ht="30" customHeight="1" x14ac:dyDescent="0.25">
      <c r="K3" s="59" t="s">
        <v>47</v>
      </c>
      <c r="L3" s="59"/>
      <c r="M3" s="59"/>
    </row>
    <row r="4" spans="2:14" ht="19.95" customHeight="1" x14ac:dyDescent="0.25">
      <c r="K4" s="59"/>
      <c r="L4" s="59"/>
      <c r="M4" s="59"/>
    </row>
    <row r="6" spans="2:14" ht="15" customHeight="1" thickBot="1" x14ac:dyDescent="0.3">
      <c r="B6" s="35"/>
      <c r="C6" s="36" t="s">
        <v>21</v>
      </c>
      <c r="D6" s="35"/>
      <c r="E6" s="35"/>
      <c r="F6" s="35"/>
      <c r="G6" s="35"/>
      <c r="H6" s="35"/>
      <c r="J6" s="35"/>
      <c r="K6" s="36" t="s">
        <v>22</v>
      </c>
      <c r="L6" s="35"/>
      <c r="M6" s="35"/>
      <c r="N6" s="35"/>
    </row>
    <row r="7" spans="2:14" ht="4.95" customHeight="1" x14ac:dyDescent="0.25">
      <c r="B7" s="37"/>
      <c r="C7" s="38"/>
      <c r="D7" s="38"/>
      <c r="E7" s="38"/>
      <c r="F7" s="38"/>
      <c r="G7" s="38"/>
      <c r="H7" s="39"/>
      <c r="J7" s="37"/>
      <c r="K7" s="38"/>
      <c r="L7" s="38"/>
      <c r="M7" s="38"/>
      <c r="N7" s="39"/>
    </row>
    <row r="8" spans="2:14" ht="15" customHeight="1" x14ac:dyDescent="0.25">
      <c r="B8" s="40"/>
      <c r="C8" s="35" t="s">
        <v>11</v>
      </c>
      <c r="D8" s="35"/>
      <c r="E8" s="35"/>
      <c r="F8" s="35" t="s">
        <v>19</v>
      </c>
      <c r="G8" s="35"/>
      <c r="H8" s="41"/>
      <c r="J8" s="40"/>
      <c r="K8" s="35"/>
      <c r="L8" s="47" t="s">
        <v>0</v>
      </c>
      <c r="M8" s="47" t="s">
        <v>1</v>
      </c>
      <c r="N8" s="41"/>
    </row>
    <row r="9" spans="2:14" ht="15" customHeight="1" x14ac:dyDescent="0.3">
      <c r="B9" s="40"/>
      <c r="C9" s="24" t="s">
        <v>12</v>
      </c>
      <c r="D9" s="5">
        <v>250</v>
      </c>
      <c r="E9" s="35"/>
      <c r="F9" s="24" t="s">
        <v>20</v>
      </c>
      <c r="G9" s="5">
        <v>229</v>
      </c>
      <c r="H9" s="41"/>
      <c r="J9" s="40"/>
      <c r="K9" s="35" t="s">
        <v>23</v>
      </c>
      <c r="L9" s="10">
        <v>2.8</v>
      </c>
      <c r="M9" s="11">
        <v>2.75</v>
      </c>
      <c r="N9" s="41"/>
    </row>
    <row r="10" spans="2:14" ht="15" customHeight="1" x14ac:dyDescent="0.3">
      <c r="B10" s="40"/>
      <c r="C10" s="24" t="s">
        <v>13</v>
      </c>
      <c r="D10" s="6">
        <v>0.12</v>
      </c>
      <c r="E10" s="35"/>
      <c r="F10" s="24" t="s">
        <v>5</v>
      </c>
      <c r="G10" s="42">
        <f>G9/D9</f>
        <v>0.91600000000000004</v>
      </c>
      <c r="H10" s="41"/>
      <c r="J10" s="40"/>
      <c r="K10" s="35" t="s">
        <v>24</v>
      </c>
      <c r="L10" s="10">
        <v>2.5</v>
      </c>
      <c r="M10" s="11">
        <v>2.4500000000000002</v>
      </c>
      <c r="N10" s="41"/>
    </row>
    <row r="11" spans="2:14" ht="15" customHeight="1" x14ac:dyDescent="0.3">
      <c r="B11" s="40"/>
      <c r="C11" s="24" t="s">
        <v>10</v>
      </c>
      <c r="D11" s="43">
        <f>ROUNDDOWN(D9*D10,0)</f>
        <v>30</v>
      </c>
      <c r="E11" s="35"/>
      <c r="F11" s="24" t="s">
        <v>6</v>
      </c>
      <c r="G11" s="6">
        <v>0.5</v>
      </c>
      <c r="H11" s="41"/>
      <c r="J11" s="40"/>
      <c r="K11" s="35" t="s">
        <v>25</v>
      </c>
      <c r="L11" s="10">
        <v>2.75</v>
      </c>
      <c r="M11" s="11">
        <v>2.7</v>
      </c>
      <c r="N11" s="41"/>
    </row>
    <row r="12" spans="2:14" ht="15" customHeight="1" x14ac:dyDescent="0.3">
      <c r="B12" s="40"/>
      <c r="C12" s="24" t="s">
        <v>14</v>
      </c>
      <c r="D12" s="7">
        <v>850</v>
      </c>
      <c r="E12" s="35"/>
      <c r="H12" s="41"/>
      <c r="J12" s="40"/>
      <c r="K12" s="35" t="s">
        <v>26</v>
      </c>
      <c r="L12" s="10">
        <v>2</v>
      </c>
      <c r="M12" s="11">
        <v>1.95</v>
      </c>
      <c r="N12" s="41"/>
    </row>
    <row r="13" spans="2:14" ht="15" customHeight="1" thickBot="1" x14ac:dyDescent="0.3">
      <c r="B13" s="40"/>
      <c r="C13" s="24" t="s">
        <v>27</v>
      </c>
      <c r="D13" s="7">
        <v>900</v>
      </c>
      <c r="F13" s="35" t="s">
        <v>49</v>
      </c>
      <c r="G13" s="35"/>
      <c r="H13" s="41"/>
      <c r="J13" s="44"/>
      <c r="K13" s="45"/>
      <c r="L13" s="45"/>
      <c r="M13" s="45"/>
      <c r="N13" s="46"/>
    </row>
    <row r="14" spans="2:14" ht="15" customHeight="1" thickBot="1" x14ac:dyDescent="0.3">
      <c r="B14" s="40"/>
      <c r="C14" s="24" t="s">
        <v>36</v>
      </c>
      <c r="D14" s="6">
        <v>0</v>
      </c>
      <c r="F14" s="24" t="s">
        <v>9</v>
      </c>
      <c r="G14" s="43">
        <f>G9*G11</f>
        <v>114.5</v>
      </c>
      <c r="H14" s="41"/>
      <c r="K14" s="25"/>
      <c r="L14" s="26"/>
      <c r="M14" s="26"/>
    </row>
    <row r="15" spans="2:14" ht="15" customHeight="1" x14ac:dyDescent="0.25">
      <c r="B15" s="40"/>
      <c r="C15" s="35" t="s">
        <v>15</v>
      </c>
      <c r="D15" s="35"/>
      <c r="F15" s="24" t="s">
        <v>7</v>
      </c>
      <c r="G15" s="8">
        <v>625</v>
      </c>
      <c r="H15" s="41"/>
      <c r="J15" s="53"/>
      <c r="K15" s="61" t="s">
        <v>43</v>
      </c>
      <c r="L15" s="61"/>
      <c r="M15" s="61"/>
      <c r="N15" s="54"/>
    </row>
    <row r="16" spans="2:14" ht="15" customHeight="1" thickBot="1" x14ac:dyDescent="0.3">
      <c r="B16" s="40"/>
      <c r="C16" s="24" t="s">
        <v>16</v>
      </c>
      <c r="D16" s="6">
        <v>0.15</v>
      </c>
      <c r="E16" s="35"/>
      <c r="H16" s="2"/>
      <c r="J16" s="55"/>
      <c r="K16" s="62"/>
      <c r="L16" s="62"/>
      <c r="M16" s="62"/>
      <c r="N16" s="56"/>
    </row>
    <row r="17" spans="2:14" ht="15" customHeight="1" x14ac:dyDescent="0.25">
      <c r="B17" s="40"/>
      <c r="C17" s="24" t="s">
        <v>17</v>
      </c>
      <c r="D17" s="43">
        <f>ROUNDDOWN(D9*D16,0)</f>
        <v>37</v>
      </c>
      <c r="E17" s="35"/>
      <c r="F17" s="35" t="s">
        <v>48</v>
      </c>
      <c r="G17" s="35"/>
      <c r="H17" s="41"/>
      <c r="J17" s="27"/>
      <c r="K17" s="63">
        <f>(Computations!$C$30*Computations!$P$8)+(Computations!$D$30*Computations!$P$9)+(Computations!$E$30*Computations!$P$10)+(Computations!$F$30*Computations!$P$11)+(Computations!$G$30*Computations!$P$12)+(Computations!$H$30*Computations!$P$13)+(Computations!$I$30*Computations!$P$14)+(Computations!$J$30*Computations!$P$15)+($D$12/8)</f>
        <v>2199.528071614438</v>
      </c>
      <c r="L17" s="64" t="s">
        <v>44</v>
      </c>
      <c r="M17" s="64"/>
      <c r="N17" s="28"/>
    </row>
    <row r="18" spans="2:14" ht="15" customHeight="1" x14ac:dyDescent="0.25">
      <c r="B18" s="40"/>
      <c r="C18" s="24" t="s">
        <v>18</v>
      </c>
      <c r="D18" s="43">
        <f>D17-D11</f>
        <v>7</v>
      </c>
      <c r="E18" s="35"/>
      <c r="F18" s="24" t="s">
        <v>9</v>
      </c>
      <c r="G18" s="43">
        <f>G9-G14</f>
        <v>114.5</v>
      </c>
      <c r="H18" s="41"/>
      <c r="J18" s="29"/>
      <c r="K18" s="57"/>
      <c r="L18" s="58"/>
      <c r="M18" s="58"/>
      <c r="N18" s="30"/>
    </row>
    <row r="19" spans="2:14" ht="15" customHeight="1" x14ac:dyDescent="0.25">
      <c r="B19" s="40"/>
      <c r="C19" s="24" t="s">
        <v>50</v>
      </c>
      <c r="D19" s="7">
        <v>1200</v>
      </c>
      <c r="E19" s="35"/>
      <c r="F19" s="24" t="s">
        <v>8</v>
      </c>
      <c r="G19" s="43">
        <f>ROUNDDOWN(D16*D9,0)</f>
        <v>37</v>
      </c>
      <c r="H19" s="41"/>
      <c r="J19" s="29"/>
      <c r="K19" s="57">
        <f>(Computations!$C$30*Computations!$P$8)+(Computations!$D$30*Computations!$P$9)+(Computations!$E$30*Computations!$P$10)+(Computations!$F$30*Computations!$P$11)+(Computations!$G$30*Computations!$P$12)+($D$12/5)</f>
        <v>1938.9711304657326</v>
      </c>
      <c r="L19" s="58" t="s">
        <v>45</v>
      </c>
      <c r="M19" s="58"/>
      <c r="N19" s="30"/>
    </row>
    <row r="20" spans="2:14" ht="15" customHeight="1" x14ac:dyDescent="0.25">
      <c r="B20" s="40"/>
      <c r="E20" s="35"/>
      <c r="F20" s="24" t="s">
        <v>10</v>
      </c>
      <c r="G20" s="43">
        <f>G18-G19</f>
        <v>77.5</v>
      </c>
      <c r="H20" s="41"/>
      <c r="J20" s="29"/>
      <c r="K20" s="57"/>
      <c r="L20" s="58"/>
      <c r="M20" s="58"/>
      <c r="N20" s="30"/>
    </row>
    <row r="21" spans="2:14" ht="15" customHeight="1" x14ac:dyDescent="0.25">
      <c r="B21" s="40"/>
      <c r="C21" s="31" t="s">
        <v>39</v>
      </c>
      <c r="D21" s="6">
        <v>0.04</v>
      </c>
      <c r="E21" s="35"/>
      <c r="F21" s="24" t="s">
        <v>7</v>
      </c>
      <c r="G21" s="8">
        <v>585</v>
      </c>
      <c r="H21" s="41"/>
      <c r="J21" s="29"/>
      <c r="K21" s="57">
        <f>(Computations!$C$30*Computations!$P$8)+(Computations!$D$30*Computations!$P$9)+(Computations!$E$30*Computations!$P$10)+($D$12/3)</f>
        <v>1728.2568126189287</v>
      </c>
      <c r="L21" s="58" t="s">
        <v>46</v>
      </c>
      <c r="M21" s="58"/>
      <c r="N21" s="30"/>
    </row>
    <row r="22" spans="2:14" ht="15" customHeight="1" thickBot="1" x14ac:dyDescent="0.3">
      <c r="B22" s="3"/>
      <c r="C22" s="4"/>
      <c r="D22" s="4"/>
      <c r="E22" s="45"/>
      <c r="F22" s="4"/>
      <c r="G22" s="4"/>
      <c r="H22" s="46"/>
      <c r="J22" s="29"/>
      <c r="K22" s="57"/>
      <c r="L22" s="58"/>
      <c r="M22" s="58"/>
      <c r="N22" s="30"/>
    </row>
    <row r="23" spans="2:14" ht="4.95" customHeight="1" thickBot="1" x14ac:dyDescent="0.3">
      <c r="E23" s="35"/>
      <c r="J23" s="32"/>
      <c r="K23" s="33"/>
      <c r="L23" s="33"/>
      <c r="M23" s="33"/>
      <c r="N23" s="34"/>
    </row>
    <row r="24" spans="2:14" ht="15" customHeight="1" x14ac:dyDescent="0.25">
      <c r="E24" s="35"/>
    </row>
    <row r="25" spans="2:14" ht="15" customHeight="1" x14ac:dyDescent="0.25">
      <c r="E25" s="35"/>
    </row>
  </sheetData>
  <sheetProtection algorithmName="SHA-512" hashValue="slHQgaFy7jZk6RirlCZUIM2AXoKjzGkR+/Fgh606hsvOGyF4tP4ArIfBzs2MkCg8RAE5MZJKPGxEbjDXthL7Cg==" saltValue="g9dbd3f2Q1mNRkBWL+iySQ==" spinCount="100000" sheet="1" objects="1" scenarios="1"/>
  <mergeCells count="9">
    <mergeCell ref="K21:K22"/>
    <mergeCell ref="L21:M22"/>
    <mergeCell ref="K3:M4"/>
    <mergeCell ref="K2:M2"/>
    <mergeCell ref="K15:M16"/>
    <mergeCell ref="K17:K18"/>
    <mergeCell ref="L17:M18"/>
    <mergeCell ref="K19:K20"/>
    <mergeCell ref="L19:M2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D8C75-4122-4600-8ED7-47DBB2E73CD9}">
  <sheetPr>
    <pageSetUpPr fitToPage="1"/>
  </sheetPr>
  <dimension ref="B2:P31"/>
  <sheetViews>
    <sheetView showGridLines="0" showRowColHeaders="0" zoomScaleNormal="100" workbookViewId="0"/>
  </sheetViews>
  <sheetFormatPr defaultRowHeight="13.8" x14ac:dyDescent="0.25"/>
  <cols>
    <col min="1" max="1" width="4.77734375" style="9" customWidth="1"/>
    <col min="2" max="2" width="20.77734375" style="9" customWidth="1"/>
    <col min="3" max="10" width="8.77734375" style="9" customWidth="1"/>
    <col min="11" max="11" width="2.77734375" style="9" customWidth="1"/>
    <col min="12" max="14" width="10.77734375" style="9" customWidth="1"/>
    <col min="15" max="15" width="8.88671875" style="9"/>
    <col min="16" max="16" width="10.77734375" style="9" customWidth="1"/>
    <col min="17" max="16384" width="8.88671875" style="9"/>
  </cols>
  <sheetData>
    <row r="2" spans="2:16" x14ac:dyDescent="0.25">
      <c r="B2" s="13"/>
      <c r="C2" s="65" t="s">
        <v>4</v>
      </c>
      <c r="D2" s="65"/>
      <c r="E2" s="65"/>
      <c r="F2" s="65"/>
      <c r="G2" s="65"/>
      <c r="H2" s="65"/>
      <c r="I2" s="65"/>
      <c r="J2" s="65"/>
      <c r="L2" s="66" t="s">
        <v>42</v>
      </c>
      <c r="M2" s="66"/>
      <c r="N2" s="66"/>
    </row>
    <row r="3" spans="2:16" ht="14.4" thickBot="1" x14ac:dyDescent="0.3">
      <c r="B3" s="14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L3" s="67" t="s">
        <v>52</v>
      </c>
      <c r="M3" s="67" t="s">
        <v>53</v>
      </c>
      <c r="N3" s="67" t="s">
        <v>54</v>
      </c>
    </row>
    <row r="4" spans="2:16" ht="4.9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L4" s="21"/>
      <c r="M4" s="21"/>
      <c r="N4" s="21"/>
    </row>
    <row r="5" spans="2:16" x14ac:dyDescent="0.25">
      <c r="B5" s="13" t="s">
        <v>31</v>
      </c>
      <c r="C5" s="13"/>
      <c r="D5" s="13"/>
      <c r="E5" s="13"/>
      <c r="F5" s="13"/>
      <c r="G5" s="13"/>
      <c r="H5" s="13"/>
      <c r="I5" s="13"/>
      <c r="J5" s="13"/>
      <c r="L5" s="21"/>
      <c r="M5" s="21"/>
      <c r="N5" s="21"/>
    </row>
    <row r="6" spans="2:16" x14ac:dyDescent="0.25">
      <c r="B6" s="16" t="s">
        <v>28</v>
      </c>
      <c r="C6" s="17">
        <f>Input!$G$14</f>
        <v>114.5</v>
      </c>
      <c r="D6" s="17">
        <f>Input!$G$14</f>
        <v>114.5</v>
      </c>
      <c r="E6" s="17">
        <f>Input!$G$14</f>
        <v>114.5</v>
      </c>
      <c r="F6" s="17">
        <f>Input!$G$14</f>
        <v>114.5</v>
      </c>
      <c r="G6" s="17">
        <f>Input!$G$14</f>
        <v>114.5</v>
      </c>
      <c r="H6" s="17">
        <f>Input!$G$14</f>
        <v>114.5</v>
      </c>
      <c r="I6" s="17">
        <f>Input!$G$14</f>
        <v>114.5</v>
      </c>
      <c r="J6" s="17">
        <f>Input!$G$14</f>
        <v>114.5</v>
      </c>
      <c r="L6" s="21"/>
      <c r="M6" s="21"/>
      <c r="N6" s="21"/>
    </row>
    <row r="7" spans="2:16" x14ac:dyDescent="0.25">
      <c r="B7" s="16" t="s">
        <v>3</v>
      </c>
      <c r="C7" s="17">
        <f>Input!$G$15</f>
        <v>625</v>
      </c>
      <c r="D7" s="17">
        <f>Input!$G$15</f>
        <v>625</v>
      </c>
      <c r="E7" s="17">
        <f>Input!$G$15</f>
        <v>625</v>
      </c>
      <c r="F7" s="17">
        <f>Input!$G$15</f>
        <v>625</v>
      </c>
      <c r="G7" s="17">
        <f>Input!$G$15</f>
        <v>625</v>
      </c>
      <c r="H7" s="17">
        <f>Input!$G$15</f>
        <v>625</v>
      </c>
      <c r="I7" s="17">
        <f>Input!$G$15</f>
        <v>625</v>
      </c>
      <c r="J7" s="17">
        <f>Input!$G$15</f>
        <v>625</v>
      </c>
      <c r="L7" s="21"/>
      <c r="M7" s="21"/>
      <c r="N7" s="21"/>
    </row>
    <row r="8" spans="2:16" x14ac:dyDescent="0.25">
      <c r="B8" s="18" t="s">
        <v>2</v>
      </c>
      <c r="C8" s="19">
        <f>Input!L9</f>
        <v>2.8</v>
      </c>
      <c r="D8" s="19">
        <f>Input!L10</f>
        <v>2.5</v>
      </c>
      <c r="E8" s="19">
        <f>Input!L11</f>
        <v>2.75</v>
      </c>
      <c r="F8" s="19">
        <f>Input!$L$12</f>
        <v>2</v>
      </c>
      <c r="G8" s="19">
        <f>Input!$L$12</f>
        <v>2</v>
      </c>
      <c r="H8" s="19">
        <f>Input!$L$12</f>
        <v>2</v>
      </c>
      <c r="I8" s="19">
        <f>Input!$L$12</f>
        <v>2</v>
      </c>
      <c r="J8" s="19">
        <f>Input!$L$12</f>
        <v>2</v>
      </c>
      <c r="L8" s="21"/>
      <c r="M8" s="21"/>
      <c r="N8" s="21"/>
      <c r="P8" s="23">
        <f>(1+(Input!$D$21/100))^1</f>
        <v>1.0004</v>
      </c>
    </row>
    <row r="9" spans="2:16" x14ac:dyDescent="0.25">
      <c r="B9" s="16" t="s">
        <v>29</v>
      </c>
      <c r="C9" s="17">
        <f>C6*C7*C8</f>
        <v>200375</v>
      </c>
      <c r="D9" s="17">
        <f t="shared" ref="D9:J9" si="0">D6*D7*D8</f>
        <v>178906.25</v>
      </c>
      <c r="E9" s="17">
        <f t="shared" si="0"/>
        <v>196796.875</v>
      </c>
      <c r="F9" s="17">
        <f t="shared" si="0"/>
        <v>143125</v>
      </c>
      <c r="G9" s="17">
        <f t="shared" si="0"/>
        <v>143125</v>
      </c>
      <c r="H9" s="17">
        <f t="shared" si="0"/>
        <v>143125</v>
      </c>
      <c r="I9" s="17">
        <f t="shared" si="0"/>
        <v>143125</v>
      </c>
      <c r="J9" s="17">
        <f t="shared" si="0"/>
        <v>143125</v>
      </c>
      <c r="L9" s="22">
        <f>SUM(C9:J9)</f>
        <v>1291703.125</v>
      </c>
      <c r="M9" s="22">
        <f>SUM(C9:G9)</f>
        <v>862328.125</v>
      </c>
      <c r="N9" s="22">
        <f>SUM(C9:E9)</f>
        <v>576078.125</v>
      </c>
      <c r="P9" s="23">
        <f>(1+(Input!$D$21/100))^2</f>
        <v>1.0008001599999998</v>
      </c>
    </row>
    <row r="10" spans="2:16" x14ac:dyDescent="0.25">
      <c r="B10" s="13" t="s">
        <v>30</v>
      </c>
      <c r="C10" s="17"/>
      <c r="D10" s="17"/>
      <c r="E10" s="17"/>
      <c r="F10" s="17"/>
      <c r="G10" s="17"/>
      <c r="H10" s="17"/>
      <c r="I10" s="17"/>
      <c r="J10" s="17"/>
      <c r="L10" s="21"/>
      <c r="M10" s="21"/>
      <c r="N10" s="21"/>
      <c r="P10" s="23">
        <f>(1+(Input!$D$21/100))^3</f>
        <v>1.0012004800639998</v>
      </c>
    </row>
    <row r="11" spans="2:16" x14ac:dyDescent="0.25">
      <c r="B11" s="16" t="s">
        <v>28</v>
      </c>
      <c r="C11" s="17">
        <f>Input!$G$20</f>
        <v>77.5</v>
      </c>
      <c r="D11" s="17">
        <f>Input!$G$20</f>
        <v>77.5</v>
      </c>
      <c r="E11" s="17">
        <f>Input!$G$20</f>
        <v>77.5</v>
      </c>
      <c r="F11" s="17">
        <f>Input!$G$20</f>
        <v>77.5</v>
      </c>
      <c r="G11" s="17">
        <f>Input!$G$20</f>
        <v>77.5</v>
      </c>
      <c r="H11" s="17">
        <f>Input!$G$20</f>
        <v>77.5</v>
      </c>
      <c r="I11" s="17">
        <f>Input!$G$20</f>
        <v>77.5</v>
      </c>
      <c r="J11" s="17">
        <f>Input!$G$20</f>
        <v>77.5</v>
      </c>
      <c r="L11" s="21"/>
      <c r="M11" s="21"/>
      <c r="N11" s="21"/>
      <c r="P11" s="23">
        <f>(1+(Input!$D$21/100))^4</f>
        <v>1.0016009602560252</v>
      </c>
    </row>
    <row r="12" spans="2:16" x14ac:dyDescent="0.25">
      <c r="B12" s="16" t="s">
        <v>3</v>
      </c>
      <c r="C12" s="17">
        <f>Input!$G$21</f>
        <v>585</v>
      </c>
      <c r="D12" s="17">
        <f>Input!$G$21</f>
        <v>585</v>
      </c>
      <c r="E12" s="17">
        <f>Input!$G$21</f>
        <v>585</v>
      </c>
      <c r="F12" s="17">
        <f>Input!$G$21</f>
        <v>585</v>
      </c>
      <c r="G12" s="17">
        <f>Input!$G$21</f>
        <v>585</v>
      </c>
      <c r="H12" s="17">
        <f>Input!$G$21</f>
        <v>585</v>
      </c>
      <c r="I12" s="17">
        <f>Input!$G$21</f>
        <v>585</v>
      </c>
      <c r="J12" s="17">
        <f>Input!$G$21</f>
        <v>585</v>
      </c>
      <c r="L12" s="21"/>
      <c r="M12" s="21"/>
      <c r="N12" s="21"/>
      <c r="P12" s="23">
        <f>(1+(Input!$D$21/100))^5</f>
        <v>1.0020016006401276</v>
      </c>
    </row>
    <row r="13" spans="2:16" x14ac:dyDescent="0.25">
      <c r="B13" s="18" t="s">
        <v>2</v>
      </c>
      <c r="C13" s="19">
        <f>Input!M9</f>
        <v>2.75</v>
      </c>
      <c r="D13" s="19">
        <f>Input!M10</f>
        <v>2.4500000000000002</v>
      </c>
      <c r="E13" s="19">
        <f>Input!M11</f>
        <v>2.7</v>
      </c>
      <c r="F13" s="19">
        <f>Input!$M$12</f>
        <v>1.95</v>
      </c>
      <c r="G13" s="19">
        <f>Input!$M$12</f>
        <v>1.95</v>
      </c>
      <c r="H13" s="19">
        <f>Input!$M$12</f>
        <v>1.95</v>
      </c>
      <c r="I13" s="19">
        <f>Input!$M$12</f>
        <v>1.95</v>
      </c>
      <c r="J13" s="19">
        <f>Input!$M$12</f>
        <v>1.95</v>
      </c>
      <c r="L13" s="21"/>
      <c r="M13" s="21"/>
      <c r="N13" s="21"/>
      <c r="P13" s="23">
        <f>(1+(Input!$D$21/100))^6</f>
        <v>1.0024024012803834</v>
      </c>
    </row>
    <row r="14" spans="2:16" x14ac:dyDescent="0.25">
      <c r="B14" s="16" t="s">
        <v>29</v>
      </c>
      <c r="C14" s="17">
        <f>C11*C12*C13</f>
        <v>124678.125</v>
      </c>
      <c r="D14" s="17">
        <f t="shared" ref="D14" si="1">D11*D12*D13</f>
        <v>111076.87500000001</v>
      </c>
      <c r="E14" s="17">
        <f t="shared" ref="E14" si="2">E11*E12*E13</f>
        <v>122411.25000000001</v>
      </c>
      <c r="F14" s="17">
        <f t="shared" ref="F14" si="3">F11*F12*F13</f>
        <v>88408.125</v>
      </c>
      <c r="G14" s="17">
        <f t="shared" ref="G14" si="4">G11*G12*G13</f>
        <v>88408.125</v>
      </c>
      <c r="H14" s="17">
        <f t="shared" ref="H14" si="5">H11*H12*H13</f>
        <v>88408.125</v>
      </c>
      <c r="I14" s="17">
        <f t="shared" ref="I14" si="6">I11*I12*I13</f>
        <v>88408.125</v>
      </c>
      <c r="J14" s="17">
        <f t="shared" ref="J14" si="7">J11*J12*J13</f>
        <v>88408.125</v>
      </c>
      <c r="L14" s="22">
        <f>SUM(C14:J14)</f>
        <v>800206.875</v>
      </c>
      <c r="M14" s="22">
        <f>SUM(C14:G14)</f>
        <v>534982.5</v>
      </c>
      <c r="N14" s="22">
        <f>SUM(C14:E14)</f>
        <v>358166.25</v>
      </c>
      <c r="P14" s="23">
        <f>(1+(Input!$D$21/100))^7</f>
        <v>1.0028033622408956</v>
      </c>
    </row>
    <row r="15" spans="2:16" x14ac:dyDescent="0.25">
      <c r="B15" s="13" t="s">
        <v>32</v>
      </c>
      <c r="C15" s="17"/>
      <c r="D15" s="17"/>
      <c r="E15" s="17"/>
      <c r="F15" s="17"/>
      <c r="G15" s="17"/>
      <c r="H15" s="17"/>
      <c r="I15" s="17"/>
      <c r="J15" s="17"/>
      <c r="L15" s="21"/>
      <c r="M15" s="21"/>
      <c r="N15" s="21"/>
    </row>
    <row r="16" spans="2:16" x14ac:dyDescent="0.25">
      <c r="B16" s="16" t="s">
        <v>28</v>
      </c>
      <c r="C16" s="17">
        <f>Input!$D$18</f>
        <v>7</v>
      </c>
      <c r="D16" s="17">
        <f>Input!$D$18</f>
        <v>7</v>
      </c>
      <c r="E16" s="17">
        <f>Input!$D$18</f>
        <v>7</v>
      </c>
      <c r="F16" s="17">
        <f>Input!$D$18</f>
        <v>7</v>
      </c>
      <c r="G16" s="17">
        <f>Input!$D$18</f>
        <v>7</v>
      </c>
      <c r="H16" s="17">
        <f>Input!$D$18</f>
        <v>7</v>
      </c>
      <c r="I16" s="17">
        <f>Input!$D$18</f>
        <v>7</v>
      </c>
      <c r="J16" s="17">
        <f>Input!$D$18</f>
        <v>7</v>
      </c>
      <c r="L16" s="21"/>
      <c r="M16" s="21"/>
      <c r="N16" s="21"/>
    </row>
    <row r="17" spans="2:14" x14ac:dyDescent="0.25">
      <c r="B17" s="18" t="s">
        <v>33</v>
      </c>
      <c r="C17" s="20">
        <f>Input!$D$19</f>
        <v>1200</v>
      </c>
      <c r="D17" s="20">
        <f>Input!$D$19</f>
        <v>1200</v>
      </c>
      <c r="E17" s="20">
        <f>Input!$D$19</f>
        <v>1200</v>
      </c>
      <c r="F17" s="20">
        <f>Input!$D$19</f>
        <v>1200</v>
      </c>
      <c r="G17" s="20">
        <f>Input!$D$19</f>
        <v>1200</v>
      </c>
      <c r="H17" s="20">
        <f>Input!$D$19</f>
        <v>1200</v>
      </c>
      <c r="I17" s="20">
        <f>Input!$D$19</f>
        <v>1200</v>
      </c>
      <c r="J17" s="20">
        <f>Input!$D$19</f>
        <v>1200</v>
      </c>
      <c r="K17" s="12"/>
      <c r="L17" s="21"/>
      <c r="M17" s="21"/>
      <c r="N17" s="21"/>
    </row>
    <row r="18" spans="2:14" x14ac:dyDescent="0.25">
      <c r="B18" s="16" t="s">
        <v>29</v>
      </c>
      <c r="C18" s="17">
        <f>C16*C17</f>
        <v>8400</v>
      </c>
      <c r="D18" s="17">
        <f t="shared" ref="D18:J18" si="8">D16*D17</f>
        <v>8400</v>
      </c>
      <c r="E18" s="17">
        <f t="shared" si="8"/>
        <v>8400</v>
      </c>
      <c r="F18" s="17">
        <f t="shared" si="8"/>
        <v>8400</v>
      </c>
      <c r="G18" s="17">
        <f t="shared" si="8"/>
        <v>8400</v>
      </c>
      <c r="H18" s="17">
        <f t="shared" si="8"/>
        <v>8400</v>
      </c>
      <c r="I18" s="17">
        <f t="shared" si="8"/>
        <v>8400</v>
      </c>
      <c r="J18" s="17">
        <f t="shared" si="8"/>
        <v>8400</v>
      </c>
      <c r="K18" s="12"/>
      <c r="L18" s="22">
        <f>SUM(C18:J18)</f>
        <v>67200</v>
      </c>
      <c r="M18" s="22">
        <f>SUM(C18:G18)</f>
        <v>42000</v>
      </c>
      <c r="N18" s="22">
        <f>SUM(C18:E18)</f>
        <v>25200</v>
      </c>
    </row>
    <row r="19" spans="2:14" x14ac:dyDescent="0.25">
      <c r="B19" s="13" t="s">
        <v>34</v>
      </c>
      <c r="C19" s="17"/>
      <c r="D19" s="17"/>
      <c r="E19" s="17"/>
      <c r="F19" s="17"/>
      <c r="G19" s="17"/>
      <c r="H19" s="17"/>
      <c r="I19" s="17"/>
      <c r="J19" s="17"/>
      <c r="L19" s="21"/>
      <c r="M19" s="21"/>
      <c r="N19" s="21"/>
    </row>
    <row r="20" spans="2:14" x14ac:dyDescent="0.25">
      <c r="B20" s="16" t="s">
        <v>28</v>
      </c>
      <c r="C20" s="17">
        <f>Input!$D$11</f>
        <v>30</v>
      </c>
      <c r="D20" s="17">
        <f>Input!$D$11</f>
        <v>30</v>
      </c>
      <c r="E20" s="17">
        <f>Input!$D$11</f>
        <v>30</v>
      </c>
      <c r="F20" s="17">
        <f>Input!$D$11</f>
        <v>30</v>
      </c>
      <c r="G20" s="17">
        <f>Input!$D$11</f>
        <v>30</v>
      </c>
      <c r="H20" s="17">
        <f>Input!$D$11</f>
        <v>30</v>
      </c>
      <c r="I20" s="17">
        <f>Input!$D$11</f>
        <v>30</v>
      </c>
      <c r="J20" s="17">
        <f>Input!$D$11</f>
        <v>30</v>
      </c>
      <c r="L20" s="21"/>
      <c r="M20" s="21"/>
      <c r="N20" s="21"/>
    </row>
    <row r="21" spans="2:14" x14ac:dyDescent="0.25">
      <c r="B21" s="18" t="s">
        <v>33</v>
      </c>
      <c r="C21" s="20">
        <f>Input!$D$12</f>
        <v>850</v>
      </c>
      <c r="D21" s="20">
        <f>Input!$D$12</f>
        <v>850</v>
      </c>
      <c r="E21" s="20">
        <f>Input!$D$12</f>
        <v>850</v>
      </c>
      <c r="F21" s="20">
        <f>Input!$D$12</f>
        <v>850</v>
      </c>
      <c r="G21" s="20">
        <f>Input!$D$12</f>
        <v>850</v>
      </c>
      <c r="H21" s="20">
        <f>Input!$D$12</f>
        <v>850</v>
      </c>
      <c r="I21" s="20">
        <f>Input!$D$12</f>
        <v>850</v>
      </c>
      <c r="J21" s="20">
        <f>Input!$D$12</f>
        <v>850</v>
      </c>
      <c r="L21" s="21"/>
      <c r="M21" s="21"/>
      <c r="N21" s="21"/>
    </row>
    <row r="22" spans="2:14" x14ac:dyDescent="0.25">
      <c r="B22" s="16" t="s">
        <v>29</v>
      </c>
      <c r="C22" s="17">
        <f>C20*C21</f>
        <v>25500</v>
      </c>
      <c r="D22" s="17">
        <f t="shared" ref="D22:J22" si="9">D20*D21</f>
        <v>25500</v>
      </c>
      <c r="E22" s="17">
        <f t="shared" si="9"/>
        <v>25500</v>
      </c>
      <c r="F22" s="17">
        <f t="shared" si="9"/>
        <v>25500</v>
      </c>
      <c r="G22" s="17">
        <f t="shared" si="9"/>
        <v>25500</v>
      </c>
      <c r="H22" s="17">
        <f t="shared" si="9"/>
        <v>25500</v>
      </c>
      <c r="I22" s="17">
        <f t="shared" si="9"/>
        <v>25500</v>
      </c>
      <c r="J22" s="17">
        <f t="shared" si="9"/>
        <v>25500</v>
      </c>
      <c r="L22" s="22">
        <f>SUM(C22:J22)</f>
        <v>204000</v>
      </c>
      <c r="M22" s="22">
        <f>SUM(C22:G22)</f>
        <v>127500</v>
      </c>
      <c r="N22" s="22">
        <f>SUM(C22:E22)</f>
        <v>76500</v>
      </c>
    </row>
    <row r="23" spans="2:14" ht="14.4" thickBot="1" x14ac:dyDescent="0.3">
      <c r="B23" s="48"/>
      <c r="C23" s="49"/>
      <c r="D23" s="49"/>
      <c r="E23" s="49"/>
      <c r="F23" s="49"/>
      <c r="G23" s="49"/>
      <c r="H23" s="49"/>
      <c r="I23" s="49"/>
      <c r="J23" s="49"/>
      <c r="L23" s="21"/>
      <c r="M23" s="21"/>
      <c r="N23" s="21"/>
    </row>
    <row r="24" spans="2:14" ht="14.4" thickTop="1" x14ac:dyDescent="0.25">
      <c r="B24" s="13" t="s">
        <v>35</v>
      </c>
      <c r="C24" s="17">
        <f t="shared" ref="C24:J24" si="10">C9+C14+C18+C22</f>
        <v>358953.125</v>
      </c>
      <c r="D24" s="17">
        <f t="shared" si="10"/>
        <v>323883.125</v>
      </c>
      <c r="E24" s="17">
        <f t="shared" si="10"/>
        <v>353108.125</v>
      </c>
      <c r="F24" s="17">
        <f t="shared" si="10"/>
        <v>265433.125</v>
      </c>
      <c r="G24" s="17">
        <f t="shared" si="10"/>
        <v>265433.125</v>
      </c>
      <c r="H24" s="17">
        <f t="shared" si="10"/>
        <v>265433.125</v>
      </c>
      <c r="I24" s="17">
        <f t="shared" si="10"/>
        <v>265433.125</v>
      </c>
      <c r="J24" s="17">
        <f t="shared" si="10"/>
        <v>265433.125</v>
      </c>
      <c r="L24" s="21"/>
      <c r="M24" s="21"/>
      <c r="N24" s="21"/>
    </row>
    <row r="25" spans="2:14" x14ac:dyDescent="0.25">
      <c r="B25" s="13"/>
      <c r="C25" s="13"/>
      <c r="D25" s="13"/>
      <c r="E25" s="13"/>
      <c r="F25" s="13"/>
      <c r="G25" s="13"/>
      <c r="H25" s="13"/>
      <c r="I25" s="13"/>
      <c r="J25" s="13"/>
      <c r="L25" s="21"/>
      <c r="M25" s="21"/>
      <c r="N25" s="21"/>
    </row>
    <row r="26" spans="2:14" x14ac:dyDescent="0.25">
      <c r="B26" s="13" t="s">
        <v>37</v>
      </c>
      <c r="C26" s="17">
        <f>Input!D13</f>
        <v>900</v>
      </c>
      <c r="D26" s="17">
        <f>C26+(C26*Input!$D$14)</f>
        <v>900</v>
      </c>
      <c r="E26" s="17">
        <f>D26+(D26*Input!$D$14)</f>
        <v>900</v>
      </c>
      <c r="F26" s="17">
        <f>E26+(E26*Input!$D$14)</f>
        <v>900</v>
      </c>
      <c r="G26" s="17">
        <f>F26+(F26*Input!$D$14)</f>
        <v>900</v>
      </c>
      <c r="H26" s="17">
        <f>G26+(G26*Input!$D$14)</f>
        <v>900</v>
      </c>
      <c r="I26" s="17">
        <f>H26+(H26*Input!$D$14)</f>
        <v>900</v>
      </c>
      <c r="J26" s="17">
        <f>I26+(I26*Input!$D$14)</f>
        <v>900</v>
      </c>
      <c r="L26" s="22">
        <f>SUM(C26:J26)</f>
        <v>7200</v>
      </c>
      <c r="M26" s="22">
        <f>SUM(C26:G26)</f>
        <v>4500</v>
      </c>
      <c r="N26" s="22">
        <f>SUM(C26:E26)</f>
        <v>2700</v>
      </c>
    </row>
    <row r="27" spans="2:14" x14ac:dyDescent="0.25">
      <c r="B27" s="13" t="s">
        <v>38</v>
      </c>
      <c r="C27" s="17">
        <f>C26*Input!$D$9</f>
        <v>225000</v>
      </c>
      <c r="D27" s="17">
        <f>D26*Input!$D$9</f>
        <v>225000</v>
      </c>
      <c r="E27" s="17">
        <f>E26*Input!$D$9</f>
        <v>225000</v>
      </c>
      <c r="F27" s="17">
        <f>F26*Input!$D$9</f>
        <v>225000</v>
      </c>
      <c r="G27" s="17">
        <f>G26*Input!$D$9</f>
        <v>225000</v>
      </c>
      <c r="H27" s="17">
        <f>H26*Input!$D$9</f>
        <v>225000</v>
      </c>
      <c r="I27" s="17">
        <f>I26*Input!$D$9</f>
        <v>225000</v>
      </c>
      <c r="J27" s="17">
        <f>J26*Input!$D$9</f>
        <v>225000</v>
      </c>
      <c r="L27" s="22">
        <f>SUM(C27:J27)</f>
        <v>1800000</v>
      </c>
      <c r="M27" s="22">
        <f>SUM(C27:G27)</f>
        <v>1125000</v>
      </c>
      <c r="N27" s="22">
        <f>SUM(C27:E27)</f>
        <v>675000</v>
      </c>
    </row>
    <row r="28" spans="2:14" x14ac:dyDescent="0.25">
      <c r="B28" s="13"/>
      <c r="C28" s="13"/>
      <c r="D28" s="13"/>
      <c r="E28" s="13"/>
      <c r="F28" s="13"/>
      <c r="G28" s="13"/>
      <c r="H28" s="13"/>
      <c r="I28" s="13"/>
      <c r="J28" s="13"/>
      <c r="L28" s="21"/>
      <c r="M28" s="21"/>
      <c r="N28" s="21"/>
    </row>
    <row r="29" spans="2:14" x14ac:dyDescent="0.25">
      <c r="B29" s="50" t="s">
        <v>40</v>
      </c>
      <c r="C29" s="51">
        <f>C24-C27</f>
        <v>133953.125</v>
      </c>
      <c r="D29" s="51">
        <f t="shared" ref="D29:J29" si="11">D24-D27</f>
        <v>98883.125</v>
      </c>
      <c r="E29" s="51">
        <f t="shared" si="11"/>
        <v>128108.125</v>
      </c>
      <c r="F29" s="51">
        <f t="shared" si="11"/>
        <v>40433.125</v>
      </c>
      <c r="G29" s="51">
        <f t="shared" si="11"/>
        <v>40433.125</v>
      </c>
      <c r="H29" s="51">
        <f t="shared" si="11"/>
        <v>40433.125</v>
      </c>
      <c r="I29" s="51">
        <f t="shared" si="11"/>
        <v>40433.125</v>
      </c>
      <c r="J29" s="51">
        <f t="shared" si="11"/>
        <v>40433.125</v>
      </c>
      <c r="L29" s="22">
        <f t="shared" ref="L29:L30" si="12">SUM(C29:J29)</f>
        <v>563110</v>
      </c>
      <c r="M29" s="22">
        <f t="shared" ref="M29:M30" si="13">SUM(C29:G29)</f>
        <v>441810.625</v>
      </c>
      <c r="N29" s="22">
        <f t="shared" ref="N29:N30" si="14">SUM(C29:E29)</f>
        <v>360944.375</v>
      </c>
    </row>
    <row r="30" spans="2:14" x14ac:dyDescent="0.25">
      <c r="B30" s="50" t="s">
        <v>41</v>
      </c>
      <c r="C30" s="52">
        <f>C29/Input!$D$9</f>
        <v>535.8125</v>
      </c>
      <c r="D30" s="52">
        <f>D29/Input!$D$9</f>
        <v>395.53250000000003</v>
      </c>
      <c r="E30" s="52">
        <f>E29/Input!$D$9</f>
        <v>512.4325</v>
      </c>
      <c r="F30" s="52">
        <f>F29/Input!$D$9</f>
        <v>161.73249999999999</v>
      </c>
      <c r="G30" s="52">
        <f>G29/Input!$D$9</f>
        <v>161.73249999999999</v>
      </c>
      <c r="H30" s="52">
        <f>H29/Input!$D$9</f>
        <v>161.73249999999999</v>
      </c>
      <c r="I30" s="52">
        <f>I29/Input!$D$9</f>
        <v>161.73249999999999</v>
      </c>
      <c r="J30" s="52">
        <f>J29/Input!$D$9</f>
        <v>161.73249999999999</v>
      </c>
      <c r="L30" s="22">
        <f t="shared" si="12"/>
        <v>2252.4400000000005</v>
      </c>
      <c r="M30" s="22">
        <f t="shared" si="13"/>
        <v>1767.2425000000003</v>
      </c>
      <c r="N30" s="22">
        <f t="shared" si="14"/>
        <v>1443.7775000000001</v>
      </c>
    </row>
    <row r="31" spans="2:14" x14ac:dyDescent="0.25">
      <c r="B31" s="13"/>
      <c r="C31" s="13"/>
      <c r="D31" s="13"/>
      <c r="E31" s="13"/>
      <c r="F31" s="13"/>
      <c r="G31" s="13"/>
      <c r="H31" s="13"/>
      <c r="I31" s="13"/>
      <c r="J31" s="13"/>
      <c r="L31" s="21"/>
      <c r="M31" s="21"/>
      <c r="N31" s="21"/>
    </row>
  </sheetData>
  <sheetProtection algorithmName="SHA-512" hashValue="zyPYOXolLSqnTC2DN/ZPdVHakclNv6no1ZOCxThJrNBh9eSyNp+wlEu7rOJGWjjTKDQK7zuMyyx4NKgT9LbMTA==" saltValue="PYWLKb7AIX0y9ip8wp6qbw==" spinCount="100000" sheet="1" objects="1" scenarios="1"/>
  <mergeCells count="2">
    <mergeCell ref="C2:J2"/>
    <mergeCell ref="L2:N2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Computations</vt:lpstr>
      <vt:lpstr>Computations!Print_Area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Sharp</dc:creator>
  <cp:lastModifiedBy>Tranel,Jeffrey</cp:lastModifiedBy>
  <cp:lastPrinted>2023-08-28T17:42:35Z</cp:lastPrinted>
  <dcterms:created xsi:type="dcterms:W3CDTF">2005-01-26T22:32:31Z</dcterms:created>
  <dcterms:modified xsi:type="dcterms:W3CDTF">2023-08-28T17:44:20Z</dcterms:modified>
</cp:coreProperties>
</file>