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6" yWindow="2016" windowWidth="13236" windowHeight="6792" activeTab="0"/>
  </bookViews>
  <sheets>
    <sheet name="Income" sheetId="1" r:id="rId1"/>
    <sheet name="Cow Carrying Costs" sheetId="2" r:id="rId2"/>
    <sheet name="Breakeven" sheetId="3" r:id="rId3"/>
  </sheets>
  <definedNames>
    <definedName name="_xlnm.Print_Area" localSheetId="2">'Breakeven'!$B$1:$L$27</definedName>
    <definedName name="_xlnm.Print_Area" localSheetId="1">'Cow Carrying Costs'!$B$4:$J$124</definedName>
    <definedName name="_xlnm.Print_Area" localSheetId="0">'Income'!$B$1:$N$60</definedName>
    <definedName name="Print_Area_MI">#REF!</definedName>
    <definedName name="_xlnm.Print_Titles" localSheetId="1">'Cow Carrying Costs'!$1:$3</definedName>
  </definedNames>
  <calcPr fullCalcOnLoad="1"/>
</workbook>
</file>

<file path=xl/sharedStrings.xml><?xml version="1.0" encoding="utf-8"?>
<sst xmlns="http://schemas.openxmlformats.org/spreadsheetml/2006/main" count="248" uniqueCount="160">
  <si>
    <t>head</t>
  </si>
  <si>
    <t>Per Cow</t>
  </si>
  <si>
    <t>Lbs Per Day</t>
  </si>
  <si>
    <t xml:space="preserve">Price </t>
  </si>
  <si>
    <t>Cost</t>
  </si>
  <si>
    <t>Description</t>
  </si>
  <si>
    <t>Unit</t>
  </si>
  <si>
    <t xml:space="preserve">Days </t>
  </si>
  <si>
    <t xml:space="preserve"> Per Unit </t>
  </si>
  <si>
    <t xml:space="preserve">Per Cow </t>
  </si>
  <si>
    <t xml:space="preserve">Per Herd </t>
  </si>
  <si>
    <t>Alfalfa Hay</t>
  </si>
  <si>
    <t>tons</t>
  </si>
  <si>
    <t>Grass Hay</t>
  </si>
  <si>
    <t>Grain/Concentrates</t>
  </si>
  <si>
    <t>lbs</t>
  </si>
  <si>
    <t>Protein Supplements</t>
  </si>
  <si>
    <t>Salt/Mineral</t>
  </si>
  <si>
    <t>Other Livestock Feed</t>
  </si>
  <si>
    <t>Subtotal of Livestock Feed</t>
  </si>
  <si>
    <t>Fert. &amp; Chem.</t>
  </si>
  <si>
    <t>acre</t>
  </si>
  <si>
    <t>Irrigation Supplies</t>
  </si>
  <si>
    <t>M&amp;R Land and Bldgs.</t>
  </si>
  <si>
    <t>dollars</t>
  </si>
  <si>
    <t>Insur. (Bld, Mach., Lvst.)</t>
  </si>
  <si>
    <t xml:space="preserve">Per Unit </t>
  </si>
  <si>
    <t>Calf Vaccines</t>
  </si>
  <si>
    <t>each</t>
  </si>
  <si>
    <t>Breeding Vaccines</t>
  </si>
  <si>
    <t>Other Vaccines</t>
  </si>
  <si>
    <t>Pregnancy Test</t>
  </si>
  <si>
    <t>Bull Fertility Test</t>
  </si>
  <si>
    <t>Medical Supplies</t>
  </si>
  <si>
    <t>Subtotal of Livestock Medical and Breeding</t>
  </si>
  <si>
    <t>Livestock Supplies</t>
  </si>
  <si>
    <t>Feeding Supplies</t>
  </si>
  <si>
    <t>Tack</t>
  </si>
  <si>
    <t>Ear Tags</t>
  </si>
  <si>
    <t>Subtotal of Livestock Supplies</t>
  </si>
  <si>
    <t>Marketing</t>
  </si>
  <si>
    <t>Freight and Trucking</t>
  </si>
  <si>
    <t>Selling Comm/Yardage</t>
  </si>
  <si>
    <t>Brand Inspection</t>
  </si>
  <si>
    <t>Health Inspection</t>
  </si>
  <si>
    <t>Lodging/Meals Etc.</t>
  </si>
  <si>
    <t>Hedging Expense</t>
  </si>
  <si>
    <t>Subtotal of Marketing</t>
  </si>
  <si>
    <t>Machinery &amp; Equipment</t>
  </si>
  <si>
    <t>Fuel and Lubrication</t>
  </si>
  <si>
    <t>Maint. and Repairs</t>
  </si>
  <si>
    <t>Equipment Leases</t>
  </si>
  <si>
    <t>Machine Hire</t>
  </si>
  <si>
    <t>Labor</t>
  </si>
  <si>
    <t>Wages</t>
  </si>
  <si>
    <t>FICA</t>
  </si>
  <si>
    <t>Contract Labor</t>
  </si>
  <si>
    <t>Professional Fees</t>
  </si>
  <si>
    <t>Workman's Comp</t>
  </si>
  <si>
    <t>Steers</t>
  </si>
  <si>
    <t>Heifers</t>
  </si>
  <si>
    <t>Head</t>
  </si>
  <si>
    <t>Weight</t>
  </si>
  <si>
    <t>Other</t>
  </si>
  <si>
    <t>Other Interest</t>
  </si>
  <si>
    <t>Interest</t>
  </si>
  <si>
    <t xml:space="preserve">Quantity </t>
  </si>
  <si>
    <t>Rate</t>
  </si>
  <si>
    <t>Subtotal of Labor</t>
  </si>
  <si>
    <t xml:space="preserve">Subtotal of Machinery and Equipment </t>
  </si>
  <si>
    <t xml:space="preserve">Subtotal of Interest </t>
  </si>
  <si>
    <t>Subtotal of Land</t>
  </si>
  <si>
    <t>Total</t>
  </si>
  <si>
    <t>Cull Cows</t>
  </si>
  <si>
    <t>Cull Bulls</t>
  </si>
  <si>
    <t>GROSS REVENUES FROM PRODUCTION</t>
  </si>
  <si>
    <t>Animal</t>
  </si>
  <si>
    <t>Type</t>
  </si>
  <si>
    <t xml:space="preserve">Avg. Mkt </t>
  </si>
  <si>
    <t xml:space="preserve">Weight </t>
  </si>
  <si>
    <t xml:space="preserve">lbs </t>
  </si>
  <si>
    <t xml:space="preserve">Net Sale </t>
  </si>
  <si>
    <t xml:space="preserve">Value </t>
  </si>
  <si>
    <t xml:space="preserve">Per Head </t>
  </si>
  <si>
    <t xml:space="preserve">$/Hd </t>
  </si>
  <si>
    <t xml:space="preserve">Total </t>
  </si>
  <si>
    <t xml:space="preserve">$ </t>
  </si>
  <si>
    <t xml:space="preserve">$/Cwt </t>
  </si>
  <si>
    <t>Depreciation - Bldg &amp; Equip</t>
  </si>
  <si>
    <t>Depreciation - Bulls</t>
  </si>
  <si>
    <t>Depreciation - Other</t>
  </si>
  <si>
    <t>BREAK-EVEN PRICES FOR CALVES</t>
  </si>
  <si>
    <t>Weaning</t>
  </si>
  <si>
    <t xml:space="preserve">Percent </t>
  </si>
  <si>
    <t>Calculation: Annual Cow Costs divided by Weaning Weight divided by Weaning Percent (as a decimal).</t>
  </si>
  <si>
    <t>PRODUCTION ASSUMPTIONS</t>
  </si>
  <si>
    <t>Cow Death Loss</t>
  </si>
  <si>
    <t>Weaned Calf Crop</t>
  </si>
  <si>
    <t>Yearling Heifers</t>
  </si>
  <si>
    <t>Exposed Females (Cows &amp; Heifers)</t>
  </si>
  <si>
    <t>Percentage Steers</t>
  </si>
  <si>
    <t>MANAGEMENT PRACTICES</t>
  </si>
  <si>
    <t>Principal</t>
  </si>
  <si>
    <t>NET RECEIPTS FROM PRODUCTION (PROFIT / LOSS)</t>
  </si>
  <si>
    <t>TOTAL EXPENSES (cash and non-cash)</t>
  </si>
  <si>
    <t>Machinery and Equipment</t>
  </si>
  <si>
    <t>Land</t>
  </si>
  <si>
    <t>Gross Revenues</t>
  </si>
  <si>
    <t>Annual Cow Carrying Costs</t>
  </si>
  <si>
    <t>Replacement Heifers Retained</t>
  </si>
  <si>
    <t>Cows Per Bull</t>
  </si>
  <si>
    <t>Cow Replacement Rate</t>
  </si>
  <si>
    <t>Bull Replacement Rate</t>
  </si>
  <si>
    <t>PRODUCTION SUMMARY</t>
  </si>
  <si>
    <t>Pasture (owned)</t>
  </si>
  <si>
    <t>Pasture (leased)</t>
  </si>
  <si>
    <t>Pasture (public)</t>
  </si>
  <si>
    <t>LAND EXPENSES</t>
  </si>
  <si>
    <t xml:space="preserve">Price  </t>
  </si>
  <si>
    <t xml:space="preserve">Per Unit  </t>
  </si>
  <si>
    <t>LIVESTOCK MEDICAL &amp; BREEDING EXPENSES</t>
  </si>
  <si>
    <t>calves</t>
  </si>
  <si>
    <t>cows</t>
  </si>
  <si>
    <t>bulls</t>
  </si>
  <si>
    <t>LIVESTOCK SUPPLIES</t>
  </si>
  <si>
    <t>MARKETING</t>
  </si>
  <si>
    <t>miles</t>
  </si>
  <si>
    <t>LABOR</t>
  </si>
  <si>
    <t>Employee Benefits</t>
  </si>
  <si>
    <t>INTEREST</t>
  </si>
  <si>
    <t>Operating Borrowings</t>
  </si>
  <si>
    <t>Non-Real Estate</t>
  </si>
  <si>
    <t>Real Estate</t>
  </si>
  <si>
    <t>NON-CASH EXPENSES</t>
  </si>
  <si>
    <t>BEEF COW/CALF ENTERPRISE BUDGET</t>
  </si>
  <si>
    <t>Estimated Costs and Returns - San Luis Valley</t>
  </si>
  <si>
    <t xml:space="preserve">Per Cow  </t>
  </si>
  <si>
    <t xml:space="preserve">Total  </t>
  </si>
  <si>
    <t>DIRECT CASH OPERATING EXPENSES</t>
  </si>
  <si>
    <t>Livestock Medical and Breeding</t>
  </si>
  <si>
    <t>Total Direct Cash Operating Expenses</t>
  </si>
  <si>
    <t>NET RECEIPTS</t>
  </si>
  <si>
    <t>Non-Cash Expenses</t>
  </si>
  <si>
    <t>Net Receipts</t>
  </si>
  <si>
    <t>1. Calves born March-May and weaned and sold October/November.</t>
  </si>
  <si>
    <t>PURCHASED FEED</t>
  </si>
  <si>
    <t>PASTURE</t>
  </si>
  <si>
    <t>aums</t>
  </si>
  <si>
    <t>Term</t>
  </si>
  <si>
    <t>(years)</t>
  </si>
  <si>
    <t>Purchased Feed and Pasture</t>
  </si>
  <si>
    <t>Number of Bulls (head)</t>
  </si>
  <si>
    <t>Yearling Heifers Sold (head)</t>
  </si>
  <si>
    <t>Heifers Sold (head)</t>
  </si>
  <si>
    <t>Heifers Retained (head)</t>
  </si>
  <si>
    <t>Total Heifers (head)</t>
  </si>
  <si>
    <t>Steers (head)</t>
  </si>
  <si>
    <t>Total Calves Weaned (head)</t>
  </si>
  <si>
    <t>2. Feeding  Period = 5 Months (Dec, Jan, Feb, Mar, Apr) / Grazing Period = 7 months</t>
  </si>
  <si>
    <t>TOTAL ANNUAL "COW COSTS"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</si>
</sst>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&quot;$&quot;#,##0.0000"/>
    <numFmt numFmtId="168" formatCode=";;;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0.00_)"/>
    <numFmt numFmtId="173" formatCode="0_)"/>
    <numFmt numFmtId="174" formatCode="_(* #,##0.0000_);_(* \(#,##0.0000\);_(* &quot;-&quot;????_);_(@_)"/>
    <numFmt numFmtId="175" formatCode="_(* #,##0.0_);_(* \(#,##0.0\);_(* &quot;-&quot;?_);_(@_)"/>
    <numFmt numFmtId="176" formatCode="0.000"/>
    <numFmt numFmtId="177" formatCode="0.0"/>
    <numFmt numFmtId="178" formatCode="&quot;$&quot;#,##0.0_);[Red]\(&quot;$&quot;#,##0.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00_);_(* \(#,##0.000\);_(* &quot;-&quot;??_);_(@_)"/>
    <numFmt numFmtId="182" formatCode="0.0_)"/>
    <numFmt numFmtId="183" formatCode="#,##0.0_);[Red]\(#,##0.0\)"/>
    <numFmt numFmtId="184" formatCode="0.0%"/>
    <numFmt numFmtId="185" formatCode="&quot;$&quot;#,##0.0_);\(&quot;$&quot;#,##0.0\)"/>
    <numFmt numFmtId="186" formatCode="&quot;$&quot;#,##0.0"/>
    <numFmt numFmtId="187" formatCode="_(&quot;$&quot;* #,##0.0_);_(&quot;$&quot;* \(#,##0.0\);_(&quot;$&quot;* &quot;-&quot;_);_(@_)"/>
    <numFmt numFmtId="188" formatCode="_(&quot;$&quot;* #,##0.00_);_(&quot;$&quot;* \(#,##0.00\);_(&quot;$&quot;* &quot;-&quot;_);_(@_)"/>
    <numFmt numFmtId="189" formatCode="[$-409]dddd\,\ mmmm\ d\,\ yyyy"/>
    <numFmt numFmtId="190" formatCode="[$-409]h:mm:ss\ AM/PM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4"/>
      <color indexed="17"/>
      <name val="Arial Rounded MT Bold"/>
      <family val="2"/>
    </font>
    <font>
      <b/>
      <sz val="14"/>
      <name val="Calibri"/>
      <family val="2"/>
    </font>
    <font>
      <b/>
      <sz val="14"/>
      <color indexed="17"/>
      <name val="Arial Rounded MT Bold"/>
      <family val="2"/>
    </font>
    <font>
      <i/>
      <sz val="9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sz val="14"/>
      <color rgb="FF008000"/>
      <name val="Arial Rounded MT Bold"/>
      <family val="2"/>
    </font>
    <font>
      <b/>
      <sz val="14"/>
      <color rgb="FF008000"/>
      <name val="Arial Rounded MT Bold"/>
      <family val="2"/>
    </font>
    <font>
      <b/>
      <sz val="11"/>
      <color rgb="FF008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32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9" fontId="24" fillId="32" borderId="14" xfId="60" applyFont="1" applyFill="1" applyBorder="1" applyAlignment="1" applyProtection="1">
      <alignment horizontal="center" vertical="center"/>
      <protection locked="0"/>
    </xf>
    <xf numFmtId="9" fontId="25" fillId="0" borderId="15" xfId="60" applyFont="1" applyFill="1" applyBorder="1" applyAlignment="1">
      <alignment horizontal="center" vertical="center"/>
    </xf>
    <xf numFmtId="9" fontId="25" fillId="0" borderId="0" xfId="60" applyFont="1" applyFill="1" applyAlignment="1">
      <alignment horizontal="center" vertical="center"/>
    </xf>
    <xf numFmtId="0" fontId="22" fillId="0" borderId="0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3" fontId="25" fillId="0" borderId="0" xfId="42" applyNumberFormat="1" applyFont="1" applyFill="1" applyBorder="1" applyAlignment="1">
      <alignment vertical="center"/>
    </xf>
    <xf numFmtId="43" fontId="22" fillId="0" borderId="0" xfId="0" applyNumberFormat="1" applyFont="1" applyBorder="1" applyAlignment="1">
      <alignment vertical="center"/>
    </xf>
    <xf numFmtId="43" fontId="22" fillId="0" borderId="15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43" fontId="25" fillId="0" borderId="19" xfId="42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44" fontId="22" fillId="0" borderId="18" xfId="44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9" fontId="25" fillId="0" borderId="13" xfId="60" applyFont="1" applyFill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4" fillId="0" borderId="13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3" fillId="0" borderId="11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>
      <alignment vertical="center"/>
    </xf>
    <xf numFmtId="0" fontId="24" fillId="0" borderId="13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>
      <alignment vertical="center"/>
    </xf>
    <xf numFmtId="0" fontId="24" fillId="0" borderId="16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171" fontId="24" fillId="0" borderId="19" xfId="42" applyNumberFormat="1" applyFont="1" applyFill="1" applyBorder="1" applyAlignment="1" applyProtection="1">
      <alignment vertical="center"/>
      <protection locked="0"/>
    </xf>
    <xf numFmtId="43" fontId="24" fillId="0" borderId="19" xfId="42" applyNumberFormat="1" applyFont="1" applyFill="1" applyBorder="1" applyAlignment="1" applyProtection="1">
      <alignment vertical="center"/>
      <protection locked="0"/>
    </xf>
    <xf numFmtId="43" fontId="22" fillId="0" borderId="19" xfId="0" applyNumberFormat="1" applyFont="1" applyFill="1" applyBorder="1" applyAlignment="1">
      <alignment vertical="center"/>
    </xf>
    <xf numFmtId="171" fontId="24" fillId="32" borderId="14" xfId="42" applyNumberFormat="1" applyFont="1" applyFill="1" applyBorder="1" applyAlignment="1" applyProtection="1">
      <alignment vertical="center"/>
      <protection locked="0"/>
    </xf>
    <xf numFmtId="43" fontId="24" fillId="32" borderId="14" xfId="42" applyNumberFormat="1" applyFont="1" applyFill="1" applyBorder="1" applyAlignment="1" applyProtection="1">
      <alignment vertical="center"/>
      <protection locked="0"/>
    </xf>
    <xf numFmtId="171" fontId="22" fillId="0" borderId="0" xfId="0" applyNumberFormat="1" applyFont="1" applyBorder="1" applyAlignment="1">
      <alignment vertical="center"/>
    </xf>
    <xf numFmtId="171" fontId="48" fillId="32" borderId="14" xfId="42" applyNumberFormat="1" applyFont="1" applyFill="1" applyBorder="1" applyAlignment="1" applyProtection="1">
      <alignment vertical="center"/>
      <protection locked="0"/>
    </xf>
    <xf numFmtId="171" fontId="22" fillId="0" borderId="19" xfId="0" applyNumberFormat="1" applyFont="1" applyFill="1" applyBorder="1" applyAlignment="1">
      <alignment vertical="center"/>
    </xf>
    <xf numFmtId="0" fontId="22" fillId="0" borderId="11" xfId="57" applyFont="1" applyBorder="1" applyAlignment="1" applyProtection="1">
      <alignment horizontal="right" vertical="center"/>
      <protection/>
    </xf>
    <xf numFmtId="0" fontId="22" fillId="0" borderId="20" xfId="57" applyFont="1" applyBorder="1" applyAlignment="1" applyProtection="1">
      <alignment horizontal="left" vertical="center"/>
      <protection/>
    </xf>
    <xf numFmtId="0" fontId="22" fillId="0" borderId="20" xfId="57" applyFont="1" applyBorder="1" applyAlignment="1" applyProtection="1">
      <alignment horizontal="right" vertical="center"/>
      <protection/>
    </xf>
    <xf numFmtId="0" fontId="22" fillId="0" borderId="0" xfId="57" applyFont="1" applyBorder="1" applyAlignment="1" applyProtection="1">
      <alignment horizontal="left" vertical="center"/>
      <protection/>
    </xf>
    <xf numFmtId="0" fontId="22" fillId="0" borderId="21" xfId="57" applyFont="1" applyBorder="1" applyAlignment="1" applyProtection="1">
      <alignment horizontal="left" vertical="center"/>
      <protection/>
    </xf>
    <xf numFmtId="0" fontId="22" fillId="0" borderId="17" xfId="57" applyFont="1" applyBorder="1" applyAlignment="1" applyProtection="1">
      <alignment horizontal="left" vertical="center"/>
      <protection/>
    </xf>
    <xf numFmtId="0" fontId="22" fillId="0" borderId="17" xfId="57" applyFont="1" applyBorder="1" applyAlignment="1" applyProtection="1">
      <alignment horizontal="center" vertical="center"/>
      <protection/>
    </xf>
    <xf numFmtId="0" fontId="22" fillId="0" borderId="20" xfId="57" applyFont="1" applyBorder="1" applyAlignment="1" applyProtection="1">
      <alignment horizontal="center" vertical="center"/>
      <protection/>
    </xf>
    <xf numFmtId="38" fontId="22" fillId="0" borderId="0" xfId="57" applyNumberFormat="1" applyFont="1" applyBorder="1" applyAlignment="1" applyProtection="1">
      <alignment vertical="center"/>
      <protection/>
    </xf>
    <xf numFmtId="40" fontId="22" fillId="0" borderId="0" xfId="42" applyNumberFormat="1" applyFont="1" applyFill="1" applyBorder="1" applyAlignment="1" applyProtection="1">
      <alignment vertical="center"/>
      <protection/>
    </xf>
    <xf numFmtId="40" fontId="22" fillId="0" borderId="21" xfId="42" applyNumberFormat="1" applyFont="1" applyFill="1" applyBorder="1" applyAlignment="1" applyProtection="1">
      <alignment vertical="center"/>
      <protection/>
    </xf>
    <xf numFmtId="44" fontId="22" fillId="0" borderId="17" xfId="44" applyNumberFormat="1" applyFont="1" applyBorder="1" applyAlignment="1" applyProtection="1">
      <alignment vertical="center"/>
      <protection/>
    </xf>
    <xf numFmtId="42" fontId="22" fillId="0" borderId="17" xfId="44" applyNumberFormat="1" applyFont="1" applyBorder="1" applyAlignment="1" applyProtection="1">
      <alignment vertical="center"/>
      <protection/>
    </xf>
    <xf numFmtId="0" fontId="22" fillId="0" borderId="11" xfId="57" applyFont="1" applyBorder="1" applyAlignment="1" applyProtection="1">
      <alignment vertical="center"/>
      <protection/>
    </xf>
    <xf numFmtId="0" fontId="22" fillId="0" borderId="12" xfId="57" applyFont="1" applyBorder="1" applyAlignment="1" applyProtection="1">
      <alignment vertical="center"/>
      <protection/>
    </xf>
    <xf numFmtId="38" fontId="22" fillId="0" borderId="21" xfId="57" applyNumberFormat="1" applyFont="1" applyBorder="1" applyAlignment="1" applyProtection="1">
      <alignment vertical="center"/>
      <protection/>
    </xf>
    <xf numFmtId="0" fontId="22" fillId="0" borderId="17" xfId="57" applyFont="1" applyBorder="1" applyAlignment="1" applyProtection="1">
      <alignment vertical="center"/>
      <protection/>
    </xf>
    <xf numFmtId="44" fontId="22" fillId="0" borderId="17" xfId="57" applyNumberFormat="1" applyFont="1" applyBorder="1" applyAlignment="1" applyProtection="1">
      <alignment vertical="center"/>
      <protection/>
    </xf>
    <xf numFmtId="42" fontId="22" fillId="0" borderId="17" xfId="57" applyNumberFormat="1" applyFont="1" applyBorder="1" applyAlignment="1" applyProtection="1">
      <alignment vertical="center"/>
      <protection/>
    </xf>
    <xf numFmtId="0" fontId="22" fillId="0" borderId="11" xfId="57" applyFont="1" applyBorder="1" applyAlignment="1" applyProtection="1">
      <alignment horizontal="center" vertical="center"/>
      <protection/>
    </xf>
    <xf numFmtId="40" fontId="22" fillId="0" borderId="0" xfId="57" applyNumberFormat="1" applyFont="1" applyFill="1" applyBorder="1" applyAlignment="1" applyProtection="1">
      <alignment vertical="center"/>
      <protection/>
    </xf>
    <xf numFmtId="40" fontId="22" fillId="0" borderId="19" xfId="57" applyNumberFormat="1" applyFont="1" applyFill="1" applyBorder="1" applyAlignment="1" applyProtection="1">
      <alignment vertical="center"/>
      <protection/>
    </xf>
    <xf numFmtId="37" fontId="22" fillId="0" borderId="0" xfId="57" applyNumberFormat="1" applyFont="1" applyBorder="1" applyAlignment="1" applyProtection="1">
      <alignment vertical="center"/>
      <protection/>
    </xf>
    <xf numFmtId="172" fontId="22" fillId="0" borderId="21" xfId="57" applyNumberFormat="1" applyFont="1" applyFill="1" applyBorder="1" applyAlignment="1" applyProtection="1">
      <alignment vertical="center"/>
      <protection/>
    </xf>
    <xf numFmtId="37" fontId="22" fillId="0" borderId="21" xfId="57" applyNumberFormat="1" applyFont="1" applyBorder="1" applyAlignment="1" applyProtection="1">
      <alignment vertical="center"/>
      <protection/>
    </xf>
    <xf numFmtId="0" fontId="22" fillId="0" borderId="10" xfId="57" applyFont="1" applyBorder="1" applyAlignment="1" applyProtection="1">
      <alignment vertical="center"/>
      <protection/>
    </xf>
    <xf numFmtId="0" fontId="22" fillId="0" borderId="13" xfId="57" applyFont="1" applyBorder="1" applyAlignment="1" applyProtection="1">
      <alignment vertical="center"/>
      <protection/>
    </xf>
    <xf numFmtId="0" fontId="22" fillId="0" borderId="22" xfId="57" applyFont="1" applyBorder="1" applyAlignment="1" applyProtection="1">
      <alignment vertical="center"/>
      <protection/>
    </xf>
    <xf numFmtId="0" fontId="22" fillId="0" borderId="22" xfId="57" applyFont="1" applyBorder="1" applyAlignment="1" applyProtection="1">
      <alignment horizontal="right" vertical="center"/>
      <protection/>
    </xf>
    <xf numFmtId="0" fontId="22" fillId="0" borderId="15" xfId="57" applyFont="1" applyBorder="1" applyAlignment="1" applyProtection="1">
      <alignment vertical="center"/>
      <protection/>
    </xf>
    <xf numFmtId="171" fontId="22" fillId="0" borderId="0" xfId="42" applyNumberFormat="1" applyFont="1" applyFill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2" fillId="0" borderId="19" xfId="57" applyFont="1" applyBorder="1" applyAlignment="1" applyProtection="1">
      <alignment vertical="center"/>
      <protection/>
    </xf>
    <xf numFmtId="40" fontId="22" fillId="0" borderId="19" xfId="42" applyNumberFormat="1" applyFont="1" applyBorder="1" applyAlignment="1" applyProtection="1">
      <alignment vertical="center"/>
      <protection/>
    </xf>
    <xf numFmtId="0" fontId="22" fillId="0" borderId="16" xfId="57" applyFont="1" applyBorder="1" applyAlignment="1" applyProtection="1">
      <alignment vertical="center"/>
      <protection/>
    </xf>
    <xf numFmtId="0" fontId="22" fillId="0" borderId="18" xfId="57" applyFont="1" applyBorder="1" applyAlignment="1" applyProtection="1">
      <alignment vertical="center"/>
      <protection/>
    </xf>
    <xf numFmtId="0" fontId="22" fillId="0" borderId="0" xfId="57" applyFont="1" applyBorder="1" applyAlignment="1" applyProtection="1">
      <alignment horizontal="right" vertical="center"/>
      <protection/>
    </xf>
    <xf numFmtId="40" fontId="24" fillId="32" borderId="14" xfId="42" applyNumberFormat="1" applyFont="1" applyFill="1" applyBorder="1" applyAlignment="1" applyProtection="1">
      <alignment horizontal="right" vertical="center"/>
      <protection locked="0"/>
    </xf>
    <xf numFmtId="38" fontId="24" fillId="32" borderId="14" xfId="57" applyNumberFormat="1" applyFont="1" applyFill="1" applyBorder="1" applyAlignment="1" applyProtection="1">
      <alignment horizontal="right" vertical="center"/>
      <protection locked="0"/>
    </xf>
    <xf numFmtId="0" fontId="22" fillId="0" borderId="21" xfId="57" applyFont="1" applyFill="1" applyBorder="1" applyAlignment="1" applyProtection="1">
      <alignment horizontal="left" vertical="center"/>
      <protection/>
    </xf>
    <xf numFmtId="40" fontId="24" fillId="0" borderId="0" xfId="42" applyNumberFormat="1" applyFont="1" applyFill="1" applyBorder="1" applyAlignment="1" applyProtection="1">
      <alignment horizontal="right" vertical="center"/>
      <protection locked="0"/>
    </xf>
    <xf numFmtId="38" fontId="24" fillId="0" borderId="0" xfId="57" applyNumberFormat="1" applyFont="1" applyFill="1" applyBorder="1" applyAlignment="1" applyProtection="1">
      <alignment horizontal="right" vertical="center"/>
      <protection locked="0"/>
    </xf>
    <xf numFmtId="0" fontId="22" fillId="0" borderId="0" xfId="57" applyFont="1" applyBorder="1" applyAlignment="1" applyProtection="1">
      <alignment horizontal="center" vertical="center"/>
      <protection/>
    </xf>
    <xf numFmtId="40" fontId="48" fillId="32" borderId="14" xfId="42" applyNumberFormat="1" applyFont="1" applyFill="1" applyBorder="1" applyAlignment="1" applyProtection="1">
      <alignment vertical="center"/>
      <protection locked="0"/>
    </xf>
    <xf numFmtId="38" fontId="24" fillId="32" borderId="14" xfId="42" applyNumberFormat="1" applyFont="1" applyFill="1" applyBorder="1" applyAlignment="1" applyProtection="1">
      <alignment vertical="center"/>
      <protection locked="0"/>
    </xf>
    <xf numFmtId="38" fontId="24" fillId="32" borderId="14" xfId="57" applyNumberFormat="1" applyFont="1" applyFill="1" applyBorder="1" applyAlignment="1" applyProtection="1">
      <alignment vertical="center"/>
      <protection locked="0"/>
    </xf>
    <xf numFmtId="38" fontId="22" fillId="0" borderId="21" xfId="57" applyNumberFormat="1" applyFont="1" applyFill="1" applyBorder="1" applyAlignment="1" applyProtection="1">
      <alignment vertical="center"/>
      <protection/>
    </xf>
    <xf numFmtId="40" fontId="24" fillId="32" borderId="14" xfId="57" applyNumberFormat="1" applyFont="1" applyFill="1" applyBorder="1" applyAlignment="1" applyProtection="1">
      <alignment vertical="center"/>
      <protection locked="0"/>
    </xf>
    <xf numFmtId="10" fontId="24" fillId="32" borderId="14" xfId="60" applyNumberFormat="1" applyFont="1" applyFill="1" applyBorder="1" applyAlignment="1" applyProtection="1">
      <alignment vertical="center"/>
      <protection locked="0"/>
    </xf>
    <xf numFmtId="37" fontId="22" fillId="0" borderId="21" xfId="57" applyNumberFormat="1" applyFont="1" applyFill="1" applyBorder="1" applyAlignment="1" applyProtection="1">
      <alignment vertical="center"/>
      <protection/>
    </xf>
    <xf numFmtId="40" fontId="22" fillId="0" borderId="0" xfId="42" applyNumberFormat="1" applyFont="1" applyBorder="1" applyAlignment="1" applyProtection="1">
      <alignment vertical="center"/>
      <protection/>
    </xf>
    <xf numFmtId="172" fontId="24" fillId="32" borderId="14" xfId="57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22" fillId="0" borderId="0" xfId="0" applyNumberFormat="1" applyFont="1" applyBorder="1" applyAlignment="1">
      <alignment vertical="center"/>
    </xf>
    <xf numFmtId="40" fontId="22" fillId="0" borderId="0" xfId="0" applyNumberFormat="1" applyFont="1" applyBorder="1" applyAlignment="1">
      <alignment vertical="center"/>
    </xf>
    <xf numFmtId="8" fontId="22" fillId="0" borderId="17" xfId="0" applyNumberFormat="1" applyFont="1" applyBorder="1" applyAlignment="1">
      <alignment vertical="center"/>
    </xf>
    <xf numFmtId="6" fontId="22" fillId="0" borderId="17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6" fontId="23" fillId="0" borderId="17" xfId="0" applyNumberFormat="1" applyFont="1" applyBorder="1" applyAlignment="1">
      <alignment vertical="center"/>
    </xf>
    <xf numFmtId="8" fontId="23" fillId="0" borderId="17" xfId="0" applyNumberFormat="1" applyFont="1" applyBorder="1" applyAlignment="1">
      <alignment vertical="center"/>
    </xf>
    <xf numFmtId="8" fontId="22" fillId="0" borderId="17" xfId="44" applyNumberFormat="1" applyFont="1" applyBorder="1" applyAlignment="1">
      <alignment vertical="center"/>
    </xf>
    <xf numFmtId="6" fontId="22" fillId="0" borderId="17" xfId="44" applyNumberFormat="1" applyFont="1" applyBorder="1" applyAlignment="1">
      <alignment vertical="center"/>
    </xf>
    <xf numFmtId="0" fontId="23" fillId="0" borderId="0" xfId="57" applyFont="1" applyAlignment="1" applyProtection="1">
      <alignment vertical="center" textRotation="90"/>
      <protection/>
    </xf>
    <xf numFmtId="0" fontId="22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/>
    </xf>
    <xf numFmtId="0" fontId="22" fillId="0" borderId="0" xfId="57" applyFont="1" applyAlignment="1" applyProtection="1">
      <alignment horizontal="right" vertical="center"/>
      <protection/>
    </xf>
    <xf numFmtId="0" fontId="25" fillId="0" borderId="0" xfId="57" applyFont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left" vertical="center"/>
      <protection/>
    </xf>
    <xf numFmtId="0" fontId="23" fillId="0" borderId="15" xfId="57" applyFont="1" applyBorder="1" applyAlignment="1" applyProtection="1">
      <alignment vertical="center" textRotation="90"/>
      <protection/>
    </xf>
    <xf numFmtId="0" fontId="22" fillId="0" borderId="22" xfId="57" applyFont="1" applyBorder="1" applyAlignment="1" applyProtection="1">
      <alignment horizontal="center" vertical="center"/>
      <protection/>
    </xf>
    <xf numFmtId="171" fontId="22" fillId="0" borderId="22" xfId="42" applyNumberFormat="1" applyFont="1" applyBorder="1" applyAlignment="1" applyProtection="1">
      <alignment horizontal="right" vertical="center"/>
      <protection/>
    </xf>
    <xf numFmtId="171" fontId="22" fillId="0" borderId="0" xfId="42" applyNumberFormat="1" applyFont="1" applyBorder="1" applyAlignment="1" applyProtection="1">
      <alignment horizontal="right" vertical="center"/>
      <protection/>
    </xf>
    <xf numFmtId="38" fontId="22" fillId="0" borderId="0" xfId="42" applyNumberFormat="1" applyFont="1" applyBorder="1" applyAlignment="1" applyProtection="1">
      <alignment vertical="center"/>
      <protection/>
    </xf>
    <xf numFmtId="40" fontId="24" fillId="0" borderId="0" xfId="42" applyNumberFormat="1" applyFont="1" applyFill="1" applyBorder="1" applyAlignment="1" applyProtection="1">
      <alignment horizontal="right" vertical="center"/>
      <protection/>
    </xf>
    <xf numFmtId="38" fontId="24" fillId="0" borderId="0" xfId="57" applyNumberFormat="1" applyFont="1" applyFill="1" applyBorder="1" applyAlignment="1" applyProtection="1">
      <alignment horizontal="right" vertical="center"/>
      <protection/>
    </xf>
    <xf numFmtId="0" fontId="22" fillId="0" borderId="19" xfId="57" applyFont="1" applyFill="1" applyBorder="1" applyAlignment="1" applyProtection="1">
      <alignment horizontal="center" vertical="center"/>
      <protection/>
    </xf>
    <xf numFmtId="40" fontId="24" fillId="0" borderId="19" xfId="42" applyNumberFormat="1" applyFont="1" applyFill="1" applyBorder="1" applyAlignment="1" applyProtection="1">
      <alignment horizontal="right" vertical="center"/>
      <protection/>
    </xf>
    <xf numFmtId="38" fontId="24" fillId="0" borderId="19" xfId="57" applyNumberFormat="1" applyFont="1" applyFill="1" applyBorder="1" applyAlignment="1" applyProtection="1">
      <alignment horizontal="right" vertical="center"/>
      <protection/>
    </xf>
    <xf numFmtId="40" fontId="22" fillId="0" borderId="19" xfId="42" applyNumberFormat="1" applyFont="1" applyFill="1" applyBorder="1" applyAlignment="1" applyProtection="1">
      <alignment vertical="center"/>
      <protection/>
    </xf>
    <xf numFmtId="38" fontId="22" fillId="0" borderId="19" xfId="42" applyNumberFormat="1" applyFont="1" applyFill="1" applyBorder="1" applyAlignment="1" applyProtection="1">
      <alignment vertical="center"/>
      <protection/>
    </xf>
    <xf numFmtId="40" fontId="22" fillId="0" borderId="17" xfId="57" applyNumberFormat="1" applyFont="1" applyBorder="1" applyAlignment="1" applyProtection="1">
      <alignment horizontal="right" vertical="center"/>
      <protection/>
    </xf>
    <xf numFmtId="44" fontId="22" fillId="0" borderId="17" xfId="44" applyFont="1" applyBorder="1" applyAlignment="1" applyProtection="1">
      <alignment horizontal="center" vertical="center"/>
      <protection/>
    </xf>
    <xf numFmtId="42" fontId="22" fillId="0" borderId="17" xfId="44" applyNumberFormat="1" applyFont="1" applyBorder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2" fillId="0" borderId="21" xfId="57" applyFont="1" applyFill="1" applyBorder="1" applyAlignment="1" applyProtection="1">
      <alignment horizontal="center" vertical="center"/>
      <protection/>
    </xf>
    <xf numFmtId="38" fontId="24" fillId="0" borderId="21" xfId="42" applyNumberFormat="1" applyFont="1" applyFill="1" applyBorder="1" applyAlignment="1" applyProtection="1">
      <alignment vertical="center"/>
      <protection/>
    </xf>
    <xf numFmtId="38" fontId="22" fillId="0" borderId="0" xfId="57" applyNumberFormat="1" applyFont="1" applyFill="1" applyBorder="1" applyAlignment="1" applyProtection="1">
      <alignment vertical="center"/>
      <protection/>
    </xf>
    <xf numFmtId="40" fontId="22" fillId="0" borderId="0" xfId="57" applyNumberFormat="1" applyFont="1" applyBorder="1" applyAlignment="1" applyProtection="1">
      <alignment vertical="center"/>
      <protection/>
    </xf>
    <xf numFmtId="38" fontId="22" fillId="0" borderId="0" xfId="42" applyNumberFormat="1" applyFont="1" applyFill="1" applyBorder="1" applyAlignment="1" applyProtection="1">
      <alignment vertical="center"/>
      <protection/>
    </xf>
    <xf numFmtId="0" fontId="24" fillId="0" borderId="21" xfId="57" applyFont="1" applyFill="1" applyBorder="1" applyAlignment="1" applyProtection="1">
      <alignment horizontal="center" vertical="center"/>
      <protection/>
    </xf>
    <xf numFmtId="38" fontId="24" fillId="0" borderId="21" xfId="57" applyNumberFormat="1" applyFont="1" applyFill="1" applyBorder="1" applyAlignment="1" applyProtection="1">
      <alignment vertical="center"/>
      <protection/>
    </xf>
    <xf numFmtId="40" fontId="24" fillId="0" borderId="21" xfId="57" applyNumberFormat="1" applyFont="1" applyFill="1" applyBorder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horizontal="center" vertical="center"/>
      <protection/>
    </xf>
    <xf numFmtId="40" fontId="24" fillId="0" borderId="0" xfId="57" applyNumberFormat="1" applyFont="1" applyFill="1" applyBorder="1" applyAlignment="1" applyProtection="1">
      <alignment vertical="center"/>
      <protection/>
    </xf>
    <xf numFmtId="38" fontId="24" fillId="0" borderId="0" xfId="57" applyNumberFormat="1" applyFont="1" applyFill="1" applyBorder="1" applyAlignment="1" applyProtection="1">
      <alignment vertical="center"/>
      <protection/>
    </xf>
    <xf numFmtId="40" fontId="22" fillId="0" borderId="19" xfId="57" applyNumberFormat="1" applyFont="1" applyBorder="1" applyAlignment="1" applyProtection="1">
      <alignment vertical="center"/>
      <protection/>
    </xf>
    <xf numFmtId="10" fontId="24" fillId="32" borderId="14" xfId="60" applyNumberFormat="1" applyFont="1" applyFill="1" applyBorder="1" applyAlignment="1" applyProtection="1">
      <alignment vertical="center"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4" fillId="0" borderId="19" xfId="57" applyFont="1" applyFill="1" applyBorder="1" applyAlignment="1" applyProtection="1">
      <alignment horizontal="center" vertical="center"/>
      <protection/>
    </xf>
    <xf numFmtId="38" fontId="24" fillId="0" borderId="19" xfId="57" applyNumberFormat="1" applyFont="1" applyFill="1" applyBorder="1" applyAlignment="1" applyProtection="1">
      <alignment vertical="center"/>
      <protection/>
    </xf>
    <xf numFmtId="40" fontId="24" fillId="0" borderId="19" xfId="57" applyNumberFormat="1" applyFont="1" applyFill="1" applyBorder="1" applyAlignment="1" applyProtection="1">
      <alignment vertical="center"/>
      <protection/>
    </xf>
    <xf numFmtId="10" fontId="24" fillId="0" borderId="0" xfId="60" applyNumberFormat="1" applyFont="1" applyFill="1" applyBorder="1" applyAlignment="1" applyProtection="1">
      <alignment vertical="center"/>
      <protection/>
    </xf>
    <xf numFmtId="173" fontId="24" fillId="0" borderId="21" xfId="57" applyNumberFormat="1" applyFont="1" applyFill="1" applyBorder="1" applyAlignment="1" applyProtection="1">
      <alignment vertical="center"/>
      <protection/>
    </xf>
    <xf numFmtId="0" fontId="22" fillId="0" borderId="19" xfId="57" applyFont="1" applyFill="1" applyBorder="1" applyAlignment="1" applyProtection="1">
      <alignment vertical="center"/>
      <protection/>
    </xf>
    <xf numFmtId="172" fontId="24" fillId="0" borderId="0" xfId="57" applyNumberFormat="1" applyFont="1" applyFill="1" applyBorder="1" applyAlignment="1" applyProtection="1">
      <alignment horizontal="center" vertical="center"/>
      <protection/>
    </xf>
    <xf numFmtId="3" fontId="24" fillId="0" borderId="21" xfId="57" applyNumberFormat="1" applyFont="1" applyFill="1" applyBorder="1" applyAlignment="1" applyProtection="1">
      <alignment vertical="center"/>
      <protection/>
    </xf>
    <xf numFmtId="173" fontId="24" fillId="0" borderId="21" xfId="57" applyNumberFormat="1" applyFont="1" applyFill="1" applyBorder="1" applyAlignment="1" applyProtection="1">
      <alignment horizontal="center" vertical="center"/>
      <protection/>
    </xf>
    <xf numFmtId="10" fontId="24" fillId="0" borderId="21" xfId="60" applyNumberFormat="1" applyFont="1" applyFill="1" applyBorder="1" applyAlignment="1" applyProtection="1">
      <alignment vertical="center"/>
      <protection/>
    </xf>
    <xf numFmtId="171" fontId="24" fillId="0" borderId="21" xfId="42" applyNumberFormat="1" applyFont="1" applyFill="1" applyBorder="1" applyAlignment="1" applyProtection="1">
      <alignment vertical="center"/>
      <protection/>
    </xf>
    <xf numFmtId="172" fontId="24" fillId="0" borderId="21" xfId="57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22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8" fontId="22" fillId="0" borderId="0" xfId="0" applyNumberFormat="1" applyFont="1" applyFill="1" applyAlignment="1">
      <alignment vertical="center"/>
    </xf>
    <xf numFmtId="6" fontId="22" fillId="0" borderId="0" xfId="0" applyNumberFormat="1" applyFont="1" applyFill="1" applyAlignment="1">
      <alignment horizontal="right" vertical="center"/>
    </xf>
    <xf numFmtId="8" fontId="22" fillId="0" borderId="0" xfId="0" applyNumberFormat="1" applyFont="1" applyFill="1" applyAlignment="1">
      <alignment horizontal="right" vertical="center"/>
    </xf>
    <xf numFmtId="0" fontId="23" fillId="0" borderId="0" xfId="0" applyFont="1" applyBorder="1" applyAlignment="1" applyProtection="1">
      <alignment horizontal="left" vertical="center"/>
      <protection/>
    </xf>
    <xf numFmtId="0" fontId="22" fillId="0" borderId="0" xfId="0" applyFont="1" applyFill="1" applyBorder="1" applyAlignment="1">
      <alignment vertical="center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>
      <alignment vertical="center"/>
    </xf>
    <xf numFmtId="8" fontId="23" fillId="0" borderId="17" xfId="0" applyNumberFormat="1" applyFont="1" applyFill="1" applyBorder="1" applyAlignment="1">
      <alignment vertical="center"/>
    </xf>
    <xf numFmtId="6" fontId="23" fillId="0" borderId="17" xfId="0" applyNumberFormat="1" applyFont="1" applyFill="1" applyBorder="1" applyAlignment="1">
      <alignment horizontal="right" vertical="center"/>
    </xf>
    <xf numFmtId="39" fontId="22" fillId="0" borderId="25" xfId="42" applyNumberFormat="1" applyFont="1" applyBorder="1" applyAlignment="1" applyProtection="1">
      <alignment horizontal="center" vertical="center"/>
      <protection/>
    </xf>
    <xf numFmtId="39" fontId="22" fillId="33" borderId="0" xfId="0" applyNumberFormat="1" applyFont="1" applyFill="1" applyBorder="1" applyAlignment="1" applyProtection="1">
      <alignment horizontal="center" vertical="center"/>
      <protection/>
    </xf>
    <xf numFmtId="39" fontId="22" fillId="0" borderId="0" xfId="42" applyNumberFormat="1" applyFont="1" applyBorder="1" applyAlignment="1" applyProtection="1">
      <alignment horizontal="center" vertical="center"/>
      <protection/>
    </xf>
    <xf numFmtId="39" fontId="22" fillId="33" borderId="25" xfId="0" applyNumberFormat="1" applyFont="1" applyFill="1" applyBorder="1" applyAlignment="1" applyProtection="1">
      <alignment horizontal="center" vertical="center"/>
      <protection/>
    </xf>
    <xf numFmtId="37" fontId="23" fillId="33" borderId="17" xfId="42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57" applyFont="1" applyAlignment="1" applyProtection="1">
      <alignment vertical="center"/>
      <protection/>
    </xf>
    <xf numFmtId="0" fontId="51" fillId="0" borderId="17" xfId="57" applyFont="1" applyBorder="1" applyAlignment="1" applyProtection="1">
      <alignment vertical="center"/>
      <protection/>
    </xf>
    <xf numFmtId="0" fontId="51" fillId="0" borderId="0" xfId="57" applyFont="1" applyAlignment="1" applyProtection="1">
      <alignment horizontal="center" vertical="center"/>
      <protection/>
    </xf>
    <xf numFmtId="38" fontId="22" fillId="0" borderId="0" xfId="57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 indent="2"/>
      <protection/>
    </xf>
    <xf numFmtId="0" fontId="22" fillId="0" borderId="0" xfId="0" applyFont="1" applyBorder="1" applyAlignment="1" applyProtection="1">
      <alignment horizontal="left" vertical="center" indent="2"/>
      <protection locked="0"/>
    </xf>
    <xf numFmtId="8" fontId="23" fillId="33" borderId="0" xfId="0" applyNumberFormat="1" applyFont="1" applyFill="1" applyAlignment="1">
      <alignment vertical="center"/>
    </xf>
    <xf numFmtId="0" fontId="22" fillId="34" borderId="26" xfId="0" applyFont="1" applyFill="1" applyBorder="1" applyAlignment="1">
      <alignment vertical="center"/>
    </xf>
    <xf numFmtId="0" fontId="23" fillId="34" borderId="27" xfId="0" applyFont="1" applyFill="1" applyBorder="1" applyAlignment="1">
      <alignment vertical="center"/>
    </xf>
    <xf numFmtId="0" fontId="22" fillId="34" borderId="27" xfId="0" applyFont="1" applyFill="1" applyBorder="1" applyAlignment="1">
      <alignment vertical="center"/>
    </xf>
    <xf numFmtId="6" fontId="23" fillId="34" borderId="27" xfId="44" applyNumberFormat="1" applyFont="1" applyFill="1" applyBorder="1" applyAlignment="1">
      <alignment vertical="center"/>
    </xf>
    <xf numFmtId="0" fontId="22" fillId="34" borderId="28" xfId="0" applyFont="1" applyFill="1" applyBorder="1" applyAlignment="1">
      <alignment vertical="center"/>
    </xf>
    <xf numFmtId="0" fontId="24" fillId="32" borderId="29" xfId="0" applyFont="1" applyFill="1" applyBorder="1" applyAlignment="1" applyProtection="1">
      <alignment horizontal="left" vertical="center"/>
      <protection locked="0"/>
    </xf>
    <xf numFmtId="0" fontId="24" fillId="32" borderId="22" xfId="0" applyFont="1" applyFill="1" applyBorder="1" applyAlignment="1" applyProtection="1">
      <alignment horizontal="left" vertical="center"/>
      <protection locked="0"/>
    </xf>
    <xf numFmtId="0" fontId="24" fillId="32" borderId="30" xfId="0" applyFont="1" applyFill="1" applyBorder="1" applyAlignment="1" applyProtection="1">
      <alignment horizontal="left" vertical="center"/>
      <protection locked="0"/>
    </xf>
    <xf numFmtId="0" fontId="22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 locked="0"/>
    </xf>
    <xf numFmtId="0" fontId="24" fillId="32" borderId="31" xfId="0" applyFont="1" applyFill="1" applyBorder="1" applyAlignment="1" applyProtection="1">
      <alignment horizontal="left" vertical="center"/>
      <protection locked="0"/>
    </xf>
    <xf numFmtId="0" fontId="24" fillId="32" borderId="32" xfId="0" applyFont="1" applyFill="1" applyBorder="1" applyAlignment="1" applyProtection="1">
      <alignment horizontal="left" vertical="center"/>
      <protection locked="0"/>
    </xf>
    <xf numFmtId="0" fontId="24" fillId="32" borderId="33" xfId="0" applyFont="1" applyFill="1" applyBorder="1" applyAlignment="1" applyProtection="1">
      <alignment horizontal="left" vertical="center"/>
      <protection locked="0"/>
    </xf>
    <xf numFmtId="0" fontId="24" fillId="32" borderId="34" xfId="0" applyFont="1" applyFill="1" applyBorder="1" applyAlignment="1" applyProtection="1">
      <alignment horizontal="left" vertical="center"/>
      <protection locked="0"/>
    </xf>
    <xf numFmtId="0" fontId="24" fillId="32" borderId="0" xfId="0" applyFont="1" applyFill="1" applyBorder="1" applyAlignment="1" applyProtection="1">
      <alignment horizontal="left" vertical="center"/>
      <protection locked="0"/>
    </xf>
    <xf numFmtId="0" fontId="24" fillId="32" borderId="35" xfId="0" applyFont="1" applyFill="1" applyBorder="1" applyAlignment="1" applyProtection="1">
      <alignment horizontal="left" vertical="center"/>
      <protection locked="0"/>
    </xf>
    <xf numFmtId="0" fontId="22" fillId="0" borderId="23" xfId="57" applyFont="1" applyBorder="1" applyAlignment="1" applyProtection="1">
      <alignment horizontal="center" vertical="center"/>
      <protection/>
    </xf>
    <xf numFmtId="9" fontId="23" fillId="0" borderId="36" xfId="0" applyNumberFormat="1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9" fontId="23" fillId="0" borderId="0" xfId="0" applyNumberFormat="1" applyFont="1" applyBorder="1" applyAlignment="1" applyProtection="1">
      <alignment horizontal="center" vertical="center"/>
      <protection/>
    </xf>
    <xf numFmtId="9" fontId="23" fillId="0" borderId="25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Stocking v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010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171450</xdr:rowOff>
    </xdr:from>
    <xdr:to>
      <xdr:col>10</xdr:col>
      <xdr:colOff>304800</xdr:colOff>
      <xdr:row>10</xdr:row>
      <xdr:rowOff>38100</xdr:rowOff>
    </xdr:to>
    <xdr:sp>
      <xdr:nvSpPr>
        <xdr:cNvPr id="1" name="Straight Arrow Connector 5"/>
        <xdr:cNvSpPr>
          <a:spLocks/>
        </xdr:cNvSpPr>
      </xdr:nvSpPr>
      <xdr:spPr>
        <a:xfrm>
          <a:off x="5019675" y="1238250"/>
          <a:ext cx="304800" cy="8763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85725</xdr:rowOff>
    </xdr:from>
    <xdr:to>
      <xdr:col>10</xdr:col>
      <xdr:colOff>0</xdr:colOff>
      <xdr:row>6</xdr:row>
      <xdr:rowOff>9525</xdr:rowOff>
    </xdr:to>
    <xdr:sp>
      <xdr:nvSpPr>
        <xdr:cNvPr id="2" name="Straight Connector 8"/>
        <xdr:cNvSpPr>
          <a:spLocks/>
        </xdr:cNvSpPr>
      </xdr:nvSpPr>
      <xdr:spPr>
        <a:xfrm flipH="1" flipV="1">
          <a:off x="4829175" y="1152525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5</xdr:row>
      <xdr:rowOff>9525</xdr:rowOff>
    </xdr:from>
    <xdr:to>
      <xdr:col>9</xdr:col>
      <xdr:colOff>400050</xdr:colOff>
      <xdr:row>5</xdr:row>
      <xdr:rowOff>76200</xdr:rowOff>
    </xdr:to>
    <xdr:sp>
      <xdr:nvSpPr>
        <xdr:cNvPr id="3" name="Straight Connector 10"/>
        <xdr:cNvSpPr>
          <a:spLocks/>
        </xdr:cNvSpPr>
      </xdr:nvSpPr>
      <xdr:spPr>
        <a:xfrm rot="16200000" flipV="1">
          <a:off x="4829175" y="1076325"/>
          <a:ext cx="19050" cy="66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0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1" customWidth="1"/>
    <col min="2" max="2" width="0.85546875" style="1" customWidth="1"/>
    <col min="3" max="3" width="15.7109375" style="1" customWidth="1"/>
    <col min="4" max="4" width="10.7109375" style="1" customWidth="1"/>
    <col min="5" max="5" width="8.7109375" style="1" customWidth="1"/>
    <col min="6" max="6" width="1.7109375" style="1" customWidth="1"/>
    <col min="7" max="7" width="10.7109375" style="1" customWidth="1"/>
    <col min="8" max="8" width="0.85546875" style="1" customWidth="1"/>
    <col min="9" max="9" width="4.7109375" style="1" customWidth="1"/>
    <col min="10" max="10" width="0.85546875" style="1" customWidth="1"/>
    <col min="11" max="11" width="10.7109375" style="1" customWidth="1"/>
    <col min="12" max="12" width="12.7109375" style="1" customWidth="1"/>
    <col min="13" max="13" width="10.7109375" style="1" customWidth="1"/>
    <col min="14" max="14" width="0.85546875" style="1" customWidth="1"/>
    <col min="15" max="15" width="8.8515625" style="1" customWidth="1"/>
    <col min="16" max="16" width="1.7109375" style="1" customWidth="1"/>
    <col min="17" max="16384" width="8.8515625" style="1" customWidth="1"/>
  </cols>
  <sheetData>
    <row r="1" ht="68.25" customHeight="1"/>
    <row r="2" spans="3:13" ht="19.5" customHeight="1">
      <c r="C2" s="134" t="s">
        <v>134</v>
      </c>
      <c r="M2" s="128">
        <v>2022</v>
      </c>
    </row>
    <row r="3" ht="19.5" customHeight="1">
      <c r="C3" s="129" t="s">
        <v>135</v>
      </c>
    </row>
    <row r="4" spans="3:13" ht="4.5" customHeight="1" thickBot="1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3.5" customHeight="1"/>
    <row r="6" spans="3:14" ht="13.5" customHeight="1" thickBot="1">
      <c r="C6" s="235" t="s">
        <v>95</v>
      </c>
      <c r="D6" s="235"/>
      <c r="E6" s="235"/>
      <c r="F6" s="235"/>
      <c r="G6" s="235"/>
      <c r="H6" s="3"/>
      <c r="I6" s="2"/>
      <c r="J6" s="2"/>
      <c r="K6" s="233" t="s">
        <v>113</v>
      </c>
      <c r="L6" s="233"/>
      <c r="M6" s="233"/>
      <c r="N6" s="2"/>
    </row>
    <row r="7" spans="2:14" ht="4.5" customHeight="1">
      <c r="B7" s="4"/>
      <c r="C7" s="5"/>
      <c r="D7" s="5"/>
      <c r="E7" s="5"/>
      <c r="F7" s="5"/>
      <c r="G7" s="5"/>
      <c r="H7" s="6"/>
      <c r="I7" s="2"/>
      <c r="J7" s="50"/>
      <c r="K7" s="51"/>
      <c r="L7" s="51"/>
      <c r="M7" s="51"/>
      <c r="N7" s="34"/>
    </row>
    <row r="8" spans="2:15" ht="13.5" customHeight="1">
      <c r="B8" s="7"/>
      <c r="C8" s="8" t="s">
        <v>99</v>
      </c>
      <c r="D8" s="9"/>
      <c r="E8" s="10"/>
      <c r="F8" s="9"/>
      <c r="G8" s="11">
        <v>300</v>
      </c>
      <c r="H8" s="12"/>
      <c r="I8" s="13"/>
      <c r="J8" s="52"/>
      <c r="K8" s="10" t="s">
        <v>157</v>
      </c>
      <c r="L8" s="10"/>
      <c r="M8" s="10">
        <f>ROUND(G8*G13,0)</f>
        <v>258</v>
      </c>
      <c r="N8" s="53"/>
      <c r="O8" s="14"/>
    </row>
    <row r="9" spans="2:15" ht="13.5" customHeight="1">
      <c r="B9" s="7"/>
      <c r="C9" s="8" t="s">
        <v>110</v>
      </c>
      <c r="D9" s="9"/>
      <c r="E9" s="10"/>
      <c r="F9" s="9"/>
      <c r="G9" s="11">
        <v>20</v>
      </c>
      <c r="H9" s="12"/>
      <c r="I9" s="13"/>
      <c r="J9" s="52"/>
      <c r="K9" s="221" t="s">
        <v>156</v>
      </c>
      <c r="L9" s="10"/>
      <c r="M9" s="10">
        <f>ROUND(M8*E14,0)</f>
        <v>129</v>
      </c>
      <c r="N9" s="53"/>
      <c r="O9" s="14"/>
    </row>
    <row r="10" spans="2:15" ht="13.5" customHeight="1">
      <c r="B10" s="15"/>
      <c r="C10" s="10" t="s">
        <v>96</v>
      </c>
      <c r="D10" s="10"/>
      <c r="E10" s="10"/>
      <c r="F10" s="10"/>
      <c r="G10" s="16">
        <v>0.03</v>
      </c>
      <c r="H10" s="17"/>
      <c r="I10" s="18"/>
      <c r="J10" s="54"/>
      <c r="K10" s="222" t="s">
        <v>155</v>
      </c>
      <c r="L10" s="10"/>
      <c r="M10" s="10">
        <f>M8-M9</f>
        <v>129</v>
      </c>
      <c r="N10" s="55"/>
      <c r="O10" s="10"/>
    </row>
    <row r="11" spans="2:15" ht="13.5" customHeight="1">
      <c r="B11" s="15"/>
      <c r="C11" s="19" t="s">
        <v>111</v>
      </c>
      <c r="D11" s="19"/>
      <c r="E11" s="10"/>
      <c r="F11" s="19"/>
      <c r="G11" s="16">
        <v>0.12</v>
      </c>
      <c r="H11" s="17"/>
      <c r="I11" s="18"/>
      <c r="J11" s="54"/>
      <c r="N11" s="55"/>
      <c r="O11" s="10"/>
    </row>
    <row r="12" spans="2:15" ht="13.5" customHeight="1">
      <c r="B12" s="15"/>
      <c r="C12" s="19" t="s">
        <v>112</v>
      </c>
      <c r="D12" s="19"/>
      <c r="E12" s="10"/>
      <c r="F12" s="19"/>
      <c r="G12" s="16">
        <v>0.25</v>
      </c>
      <c r="H12" s="17"/>
      <c r="I12" s="18"/>
      <c r="J12" s="54"/>
      <c r="K12" s="21" t="s">
        <v>154</v>
      </c>
      <c r="L12" s="10"/>
      <c r="M12" s="10">
        <f>ROUND(G8*G15,0)</f>
        <v>45</v>
      </c>
      <c r="N12" s="55"/>
      <c r="O12" s="10"/>
    </row>
    <row r="13" spans="2:15" ht="13.5" customHeight="1">
      <c r="B13" s="20"/>
      <c r="C13" s="21" t="s">
        <v>97</v>
      </c>
      <c r="D13" s="22"/>
      <c r="E13" s="10"/>
      <c r="F13" s="22"/>
      <c r="G13" s="16">
        <v>0.86</v>
      </c>
      <c r="H13" s="17"/>
      <c r="I13" s="18"/>
      <c r="J13" s="54"/>
      <c r="K13" s="21" t="s">
        <v>153</v>
      </c>
      <c r="L13" s="10"/>
      <c r="M13" s="10">
        <f>ROUND(M10-M12,0)</f>
        <v>84</v>
      </c>
      <c r="N13" s="55"/>
      <c r="O13" s="10"/>
    </row>
    <row r="14" spans="2:15" ht="13.5" customHeight="1">
      <c r="B14" s="20"/>
      <c r="C14" s="23" t="s">
        <v>100</v>
      </c>
      <c r="D14" s="22"/>
      <c r="E14" s="16">
        <v>0.5</v>
      </c>
      <c r="F14" s="22"/>
      <c r="G14" s="22"/>
      <c r="H14" s="24"/>
      <c r="I14" s="25"/>
      <c r="J14" s="56"/>
      <c r="K14" s="1" t="s">
        <v>152</v>
      </c>
      <c r="M14" s="1">
        <f>ROUND(M12-(G8*(G10+G11)),0)</f>
        <v>0</v>
      </c>
      <c r="N14" s="55"/>
      <c r="O14" s="10"/>
    </row>
    <row r="15" spans="2:15" ht="13.5" customHeight="1">
      <c r="B15" s="20"/>
      <c r="C15" s="21" t="s">
        <v>109</v>
      </c>
      <c r="D15" s="22"/>
      <c r="E15" s="10"/>
      <c r="F15" s="22"/>
      <c r="G15" s="16">
        <v>0.15</v>
      </c>
      <c r="H15" s="12"/>
      <c r="I15" s="25"/>
      <c r="J15" s="56"/>
      <c r="K15" s="1" t="s">
        <v>151</v>
      </c>
      <c r="M15" s="1">
        <f>ROUND(G8/G9,0)</f>
        <v>15</v>
      </c>
      <c r="N15" s="55"/>
      <c r="O15" s="10"/>
    </row>
    <row r="16" spans="2:15" ht="4.5" customHeight="1" thickBot="1">
      <c r="B16" s="26"/>
      <c r="C16" s="27"/>
      <c r="D16" s="27"/>
      <c r="E16" s="27"/>
      <c r="F16" s="27"/>
      <c r="G16" s="27"/>
      <c r="H16" s="28"/>
      <c r="I16" s="13"/>
      <c r="J16" s="57"/>
      <c r="K16" s="58"/>
      <c r="L16" s="27"/>
      <c r="M16" s="27"/>
      <c r="N16" s="28"/>
      <c r="O16" s="10"/>
    </row>
    <row r="17" spans="2:15" ht="13.5" customHeight="1">
      <c r="B17" s="10"/>
      <c r="C17" s="10"/>
      <c r="D17" s="10"/>
      <c r="E17" s="10"/>
      <c r="F17" s="10"/>
      <c r="G17" s="10"/>
      <c r="H17" s="10"/>
      <c r="I17" s="13"/>
      <c r="J17" s="59"/>
      <c r="K17" s="22"/>
      <c r="L17" s="10"/>
      <c r="M17" s="10"/>
      <c r="N17" s="10"/>
      <c r="O17" s="10"/>
    </row>
    <row r="18" spans="3:13" ht="13.5" customHeight="1" thickBot="1">
      <c r="C18" s="236" t="s">
        <v>101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</row>
    <row r="19" spans="2:14" ht="4.5" customHeight="1">
      <c r="B19" s="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</row>
    <row r="20" spans="2:14" ht="13.5" customHeight="1">
      <c r="B20" s="62"/>
      <c r="C20" s="237" t="s">
        <v>144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63"/>
    </row>
    <row r="21" spans="2:14" ht="13.5" customHeight="1">
      <c r="B21" s="62"/>
      <c r="C21" s="240" t="s">
        <v>158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2"/>
      <c r="N21" s="63"/>
    </row>
    <row r="22" spans="2:14" ht="13.5" customHeight="1">
      <c r="B22" s="62"/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1"/>
      <c r="N22" s="63"/>
    </row>
    <row r="23" spans="2:14" ht="4.5" customHeight="1" thickBot="1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</row>
    <row r="24" spans="2:12" ht="13.5" customHeight="1"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</row>
    <row r="25" spans="2:13" ht="13.5" customHeight="1" thickBot="1">
      <c r="B25" s="31"/>
      <c r="C25" s="234" t="s">
        <v>75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2:14" ht="13.5" customHeight="1">
      <c r="B26" s="4"/>
      <c r="C26" s="32"/>
      <c r="D26" s="32"/>
      <c r="E26" s="33" t="s">
        <v>78</v>
      </c>
      <c r="F26" s="33"/>
      <c r="G26" s="33" t="s">
        <v>81</v>
      </c>
      <c r="H26" s="33"/>
      <c r="I26" s="33"/>
      <c r="J26" s="33"/>
      <c r="K26" s="232" t="s">
        <v>82</v>
      </c>
      <c r="L26" s="232"/>
      <c r="M26" s="232"/>
      <c r="N26" s="34"/>
    </row>
    <row r="27" spans="2:14" ht="13.5" customHeight="1">
      <c r="B27" s="15"/>
      <c r="C27" s="10" t="s">
        <v>76</v>
      </c>
      <c r="D27" s="9"/>
      <c r="E27" s="35" t="s">
        <v>79</v>
      </c>
      <c r="F27" s="35"/>
      <c r="G27" s="35" t="s">
        <v>3</v>
      </c>
      <c r="H27" s="35"/>
      <c r="I27" s="35"/>
      <c r="J27" s="35"/>
      <c r="K27" s="35" t="s">
        <v>83</v>
      </c>
      <c r="L27" s="35" t="s">
        <v>85</v>
      </c>
      <c r="M27" s="35" t="s">
        <v>9</v>
      </c>
      <c r="N27" s="36"/>
    </row>
    <row r="28" spans="2:14" ht="13.5" customHeight="1" thickBot="1">
      <c r="B28" s="15"/>
      <c r="C28" s="27" t="s">
        <v>77</v>
      </c>
      <c r="D28" s="37" t="s">
        <v>61</v>
      </c>
      <c r="E28" s="38" t="s">
        <v>80</v>
      </c>
      <c r="F28" s="38"/>
      <c r="G28" s="38" t="s">
        <v>87</v>
      </c>
      <c r="H28" s="38"/>
      <c r="I28" s="38"/>
      <c r="J28" s="38"/>
      <c r="K28" s="38" t="s">
        <v>84</v>
      </c>
      <c r="L28" s="38" t="s">
        <v>86</v>
      </c>
      <c r="M28" s="38" t="s">
        <v>86</v>
      </c>
      <c r="N28" s="36"/>
    </row>
    <row r="29" spans="2:14" ht="4.5" customHeight="1">
      <c r="B29" s="15"/>
      <c r="C29" s="10"/>
      <c r="D29" s="9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2:14" ht="13.5" customHeight="1">
      <c r="B30" s="15"/>
      <c r="C30" s="10" t="s">
        <v>59</v>
      </c>
      <c r="D30" s="39">
        <f>M9</f>
        <v>129</v>
      </c>
      <c r="E30" s="71">
        <v>550</v>
      </c>
      <c r="F30" s="40"/>
      <c r="G30" s="72">
        <v>200</v>
      </c>
      <c r="H30" s="41"/>
      <c r="I30" s="41"/>
      <c r="J30" s="41"/>
      <c r="K30" s="42">
        <f>E30*(G30/100)</f>
        <v>1100</v>
      </c>
      <c r="L30" s="73">
        <f>K30*D30</f>
        <v>141900</v>
      </c>
      <c r="M30" s="42">
        <f aca="true" t="shared" si="0" ref="M30:M35">L30/$G$8</f>
        <v>473</v>
      </c>
      <c r="N30" s="43"/>
    </row>
    <row r="31" spans="2:14" ht="13.5" customHeight="1">
      <c r="B31" s="15"/>
      <c r="C31" s="10" t="s">
        <v>60</v>
      </c>
      <c r="D31" s="39">
        <f>M13</f>
        <v>84</v>
      </c>
      <c r="E31" s="71">
        <v>500</v>
      </c>
      <c r="F31" s="40"/>
      <c r="G31" s="72">
        <v>192</v>
      </c>
      <c r="H31" s="41"/>
      <c r="I31" s="41"/>
      <c r="J31" s="41"/>
      <c r="K31" s="42">
        <f>E31*(G31/100)</f>
        <v>960</v>
      </c>
      <c r="L31" s="73">
        <f>K31*D31</f>
        <v>80640</v>
      </c>
      <c r="M31" s="42">
        <f t="shared" si="0"/>
        <v>268.8</v>
      </c>
      <c r="N31" s="43"/>
    </row>
    <row r="32" spans="2:14" ht="13.5" customHeight="1">
      <c r="B32" s="15"/>
      <c r="C32" s="10" t="s">
        <v>98</v>
      </c>
      <c r="D32" s="39">
        <f>M14</f>
        <v>0</v>
      </c>
      <c r="E32" s="71">
        <v>800</v>
      </c>
      <c r="F32" s="40"/>
      <c r="G32" s="72">
        <v>165</v>
      </c>
      <c r="H32" s="41"/>
      <c r="I32" s="41"/>
      <c r="J32" s="41"/>
      <c r="K32" s="42">
        <f>E32*(G32/100)</f>
        <v>1320</v>
      </c>
      <c r="L32" s="73">
        <f>K32*D32</f>
        <v>0</v>
      </c>
      <c r="M32" s="42">
        <f t="shared" si="0"/>
        <v>0</v>
      </c>
      <c r="N32" s="43"/>
    </row>
    <row r="33" spans="2:14" ht="13.5" customHeight="1">
      <c r="B33" s="15"/>
      <c r="C33" s="10" t="s">
        <v>73</v>
      </c>
      <c r="D33" s="39">
        <f>G8*G11</f>
        <v>36</v>
      </c>
      <c r="E33" s="71">
        <v>1100</v>
      </c>
      <c r="F33" s="40"/>
      <c r="G33" s="72">
        <v>85</v>
      </c>
      <c r="H33" s="41"/>
      <c r="I33" s="41"/>
      <c r="J33" s="41"/>
      <c r="K33" s="42">
        <f>E33*(G33/100)</f>
        <v>935</v>
      </c>
      <c r="L33" s="73">
        <f>K33*D33</f>
        <v>33660</v>
      </c>
      <c r="M33" s="42">
        <f t="shared" si="0"/>
        <v>112.2</v>
      </c>
      <c r="N33" s="43"/>
    </row>
    <row r="34" spans="2:14" ht="13.5" customHeight="1">
      <c r="B34" s="15"/>
      <c r="C34" s="10" t="s">
        <v>74</v>
      </c>
      <c r="D34" s="39">
        <f>M15*G12</f>
        <v>3.75</v>
      </c>
      <c r="E34" s="71">
        <v>1600</v>
      </c>
      <c r="F34" s="40"/>
      <c r="G34" s="72">
        <v>85</v>
      </c>
      <c r="H34" s="41"/>
      <c r="I34" s="41"/>
      <c r="J34" s="41"/>
      <c r="K34" s="42">
        <f>E34*(G34/100)</f>
        <v>1360</v>
      </c>
      <c r="L34" s="73">
        <f>K34*D34</f>
        <v>5100</v>
      </c>
      <c r="M34" s="42">
        <f t="shared" si="0"/>
        <v>17</v>
      </c>
      <c r="N34" s="43"/>
    </row>
    <row r="35" spans="2:14" ht="13.5" customHeight="1">
      <c r="B35" s="15"/>
      <c r="C35" s="10" t="s">
        <v>63</v>
      </c>
      <c r="D35" s="39"/>
      <c r="E35" s="39"/>
      <c r="F35" s="39"/>
      <c r="G35" s="39"/>
      <c r="H35" s="41"/>
      <c r="I35" s="41"/>
      <c r="J35" s="41"/>
      <c r="K35" s="42"/>
      <c r="L35" s="74">
        <v>0</v>
      </c>
      <c r="M35" s="42">
        <f t="shared" si="0"/>
        <v>0</v>
      </c>
      <c r="N35" s="43"/>
    </row>
    <row r="36" spans="2:14" ht="4.5" customHeight="1" thickBot="1">
      <c r="B36" s="15"/>
      <c r="C36" s="67"/>
      <c r="D36" s="45"/>
      <c r="E36" s="68"/>
      <c r="F36" s="46"/>
      <c r="G36" s="69"/>
      <c r="H36" s="47"/>
      <c r="I36" s="47"/>
      <c r="J36" s="47"/>
      <c r="K36" s="70"/>
      <c r="L36" s="75"/>
      <c r="M36" s="70"/>
      <c r="N36" s="43"/>
    </row>
    <row r="37" spans="2:14" ht="13.5" customHeight="1" thickBot="1" thickTop="1">
      <c r="B37" s="26"/>
      <c r="C37" s="48" t="s">
        <v>72</v>
      </c>
      <c r="D37" s="37">
        <f>SUM(D30:D36)</f>
        <v>252.75</v>
      </c>
      <c r="E37" s="27"/>
      <c r="F37" s="27"/>
      <c r="G37" s="27"/>
      <c r="H37" s="27"/>
      <c r="I37" s="27"/>
      <c r="J37" s="27"/>
      <c r="K37" s="27"/>
      <c r="L37" s="141">
        <f>SUM(L30:L36)</f>
        <v>261300</v>
      </c>
      <c r="M37" s="140">
        <f>SUM(M30:M36)</f>
        <v>871</v>
      </c>
      <c r="N37" s="49"/>
    </row>
    <row r="38" ht="13.5" customHeight="1"/>
    <row r="39" ht="13.5" customHeight="1" thickBot="1">
      <c r="C39" s="31" t="s">
        <v>138</v>
      </c>
    </row>
    <row r="40" spans="2:14" ht="13.5" customHeight="1">
      <c r="B40" s="4"/>
      <c r="C40" s="135"/>
      <c r="D40" s="135"/>
      <c r="E40" s="135"/>
      <c r="F40" s="135"/>
      <c r="G40" s="135"/>
      <c r="H40" s="135"/>
      <c r="I40" s="135"/>
      <c r="J40" s="135"/>
      <c r="K40" s="135"/>
      <c r="L40" s="136" t="s">
        <v>137</v>
      </c>
      <c r="M40" s="136" t="s">
        <v>136</v>
      </c>
      <c r="N40" s="61"/>
    </row>
    <row r="41" spans="2:14" ht="13.5" customHeight="1">
      <c r="B41" s="15"/>
      <c r="C41" s="10" t="s">
        <v>150</v>
      </c>
      <c r="D41" s="10"/>
      <c r="E41" s="10"/>
      <c r="F41" s="10"/>
      <c r="G41" s="10"/>
      <c r="H41" s="10"/>
      <c r="I41" s="10"/>
      <c r="J41" s="10"/>
      <c r="K41" s="10"/>
      <c r="L41" s="130">
        <f>'Cow Carrying Costs'!I15+'Cow Carrying Costs'!I26</f>
        <v>192750</v>
      </c>
      <c r="M41" s="131">
        <f>L41/$G$8</f>
        <v>642.5</v>
      </c>
      <c r="N41" s="55"/>
    </row>
    <row r="42" spans="2:14" ht="13.5" customHeight="1">
      <c r="B42" s="15"/>
      <c r="C42" s="10" t="s">
        <v>106</v>
      </c>
      <c r="D42" s="10"/>
      <c r="E42" s="10"/>
      <c r="F42" s="10"/>
      <c r="G42" s="10"/>
      <c r="H42" s="10"/>
      <c r="I42" s="10"/>
      <c r="J42" s="10"/>
      <c r="K42" s="10"/>
      <c r="L42" s="130">
        <f>'Cow Carrying Costs'!I38</f>
        <v>7123</v>
      </c>
      <c r="M42" s="131">
        <f aca="true" t="shared" si="1" ref="M42:M48">L42/$G$8</f>
        <v>23.743333333333332</v>
      </c>
      <c r="N42" s="55"/>
    </row>
    <row r="43" spans="2:14" ht="13.5" customHeight="1">
      <c r="B43" s="15"/>
      <c r="C43" s="10" t="s">
        <v>139</v>
      </c>
      <c r="D43" s="10"/>
      <c r="E43" s="10"/>
      <c r="F43" s="10"/>
      <c r="G43" s="10"/>
      <c r="H43" s="10"/>
      <c r="I43" s="10"/>
      <c r="J43" s="10"/>
      <c r="K43" s="10"/>
      <c r="L43" s="130">
        <f>'Cow Carrying Costs'!I52</f>
        <v>4650</v>
      </c>
      <c r="M43" s="131">
        <f t="shared" si="1"/>
        <v>15.5</v>
      </c>
      <c r="N43" s="55"/>
    </row>
    <row r="44" spans="2:14" ht="13.5" customHeight="1">
      <c r="B44" s="15"/>
      <c r="C44" s="10" t="s">
        <v>35</v>
      </c>
      <c r="D44" s="10"/>
      <c r="E44" s="10"/>
      <c r="F44" s="10"/>
      <c r="G44" s="10"/>
      <c r="H44" s="10"/>
      <c r="I44" s="10"/>
      <c r="J44" s="10"/>
      <c r="K44" s="10"/>
      <c r="L44" s="130">
        <f>'Cow Carrying Costs'!I63</f>
        <v>2745</v>
      </c>
      <c r="M44" s="131">
        <f t="shared" si="1"/>
        <v>9.15</v>
      </c>
      <c r="N44" s="55"/>
    </row>
    <row r="45" spans="2:14" ht="13.5" customHeight="1">
      <c r="B45" s="15"/>
      <c r="C45" s="10" t="s">
        <v>40</v>
      </c>
      <c r="D45" s="10"/>
      <c r="E45" s="10"/>
      <c r="F45" s="10"/>
      <c r="G45" s="10"/>
      <c r="H45" s="10"/>
      <c r="I45" s="10"/>
      <c r="J45" s="10"/>
      <c r="K45" s="10"/>
      <c r="L45" s="130">
        <f>'Cow Carrying Costs'!I77</f>
        <v>6606.225</v>
      </c>
      <c r="M45" s="131">
        <f t="shared" si="1"/>
        <v>22.02075</v>
      </c>
      <c r="N45" s="55"/>
    </row>
    <row r="46" spans="2:14" ht="13.5" customHeight="1">
      <c r="B46" s="15"/>
      <c r="C46" s="10" t="s">
        <v>105</v>
      </c>
      <c r="D46" s="10"/>
      <c r="E46" s="10"/>
      <c r="F46" s="10"/>
      <c r="G46" s="10"/>
      <c r="H46" s="10"/>
      <c r="I46" s="10"/>
      <c r="J46" s="10"/>
      <c r="K46" s="10"/>
      <c r="L46" s="130">
        <f>'Cow Carrying Costs'!I89</f>
        <v>1000</v>
      </c>
      <c r="M46" s="131">
        <f t="shared" si="1"/>
        <v>3.3333333333333335</v>
      </c>
      <c r="N46" s="55"/>
    </row>
    <row r="47" spans="2:14" ht="13.5" customHeight="1">
      <c r="B47" s="15"/>
      <c r="C47" s="10" t="s">
        <v>53</v>
      </c>
      <c r="D47" s="10"/>
      <c r="E47" s="10"/>
      <c r="F47" s="10"/>
      <c r="G47" s="10"/>
      <c r="H47" s="10"/>
      <c r="I47" s="10"/>
      <c r="J47" s="10"/>
      <c r="K47" s="10"/>
      <c r="L47" s="130">
        <f>'Cow Carrying Costs'!I103</f>
        <v>0</v>
      </c>
      <c r="M47" s="131">
        <f t="shared" si="1"/>
        <v>0</v>
      </c>
      <c r="N47" s="55"/>
    </row>
    <row r="48" spans="2:14" ht="13.5" customHeight="1">
      <c r="B48" s="15"/>
      <c r="C48" s="10" t="s">
        <v>65</v>
      </c>
      <c r="D48" s="10"/>
      <c r="E48" s="10"/>
      <c r="F48" s="10"/>
      <c r="G48" s="10"/>
      <c r="H48" s="10"/>
      <c r="I48" s="10"/>
      <c r="J48" s="10"/>
      <c r="K48" s="10"/>
      <c r="L48" s="130">
        <f>'Cow Carrying Costs'!I114</f>
        <v>7252.005093750001</v>
      </c>
      <c r="M48" s="131">
        <f t="shared" si="1"/>
        <v>24.173350312500002</v>
      </c>
      <c r="N48" s="55"/>
    </row>
    <row r="49" spans="2:14" ht="4.5" customHeight="1" thickBot="1">
      <c r="B49" s="1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55"/>
    </row>
    <row r="50" spans="2:14" ht="13.5" customHeight="1" thickBot="1" thickTop="1">
      <c r="B50" s="26"/>
      <c r="C50" s="27" t="s">
        <v>140</v>
      </c>
      <c r="D50" s="27"/>
      <c r="E50" s="27"/>
      <c r="F50" s="27"/>
      <c r="G50" s="27"/>
      <c r="H50" s="27"/>
      <c r="I50" s="27"/>
      <c r="J50" s="27"/>
      <c r="K50" s="27"/>
      <c r="L50" s="133">
        <f>SUM(L41:L49)</f>
        <v>222126.23009375</v>
      </c>
      <c r="M50" s="132">
        <f>SUM(M41:M49)</f>
        <v>740.4207669791667</v>
      </c>
      <c r="N50" s="28"/>
    </row>
    <row r="51" ht="13.5" customHeight="1"/>
    <row r="52" ht="13.5" customHeight="1" thickBot="1">
      <c r="C52" s="31" t="s">
        <v>141</v>
      </c>
    </row>
    <row r="53" spans="2:14" ht="13.5" customHeight="1">
      <c r="B53" s="4"/>
      <c r="C53" s="135"/>
      <c r="D53" s="135"/>
      <c r="E53" s="135"/>
      <c r="F53" s="135"/>
      <c r="G53" s="135"/>
      <c r="H53" s="135"/>
      <c r="I53" s="135"/>
      <c r="J53" s="135"/>
      <c r="K53" s="135"/>
      <c r="L53" s="136" t="s">
        <v>137</v>
      </c>
      <c r="M53" s="136" t="s">
        <v>136</v>
      </c>
      <c r="N53" s="61"/>
    </row>
    <row r="54" spans="2:14" ht="13.5" customHeight="1">
      <c r="B54" s="15"/>
      <c r="C54" s="10" t="s">
        <v>107</v>
      </c>
      <c r="D54" s="10"/>
      <c r="E54" s="10"/>
      <c r="F54" s="10"/>
      <c r="G54" s="10"/>
      <c r="H54" s="10"/>
      <c r="I54" s="10"/>
      <c r="J54" s="10"/>
      <c r="K54" s="10"/>
      <c r="L54" s="130">
        <f>L37</f>
        <v>261300</v>
      </c>
      <c r="M54" s="131">
        <f>M37</f>
        <v>871</v>
      </c>
      <c r="N54" s="55"/>
    </row>
    <row r="55" spans="2:14" ht="13.5" customHeight="1">
      <c r="B55" s="15"/>
      <c r="C55" s="10" t="s">
        <v>140</v>
      </c>
      <c r="D55" s="10"/>
      <c r="E55" s="10"/>
      <c r="F55" s="10"/>
      <c r="G55" s="10"/>
      <c r="H55" s="10"/>
      <c r="I55" s="10"/>
      <c r="J55" s="10"/>
      <c r="K55" s="10"/>
      <c r="L55" s="130">
        <f>L50</f>
        <v>222126.23009375</v>
      </c>
      <c r="M55" s="131">
        <f>M50</f>
        <v>740.4207669791667</v>
      </c>
      <c r="N55" s="55"/>
    </row>
    <row r="56" spans="2:14" ht="13.5" customHeight="1">
      <c r="B56" s="15"/>
      <c r="C56" s="10" t="s">
        <v>142</v>
      </c>
      <c r="D56" s="10"/>
      <c r="E56" s="10"/>
      <c r="F56" s="10"/>
      <c r="G56" s="10"/>
      <c r="H56" s="10"/>
      <c r="I56" s="10"/>
      <c r="J56" s="10"/>
      <c r="K56" s="10"/>
      <c r="L56" s="130">
        <f>'Cow Carrying Costs'!I124</f>
        <v>14500</v>
      </c>
      <c r="M56" s="131">
        <f>L56/G8</f>
        <v>48.333333333333336</v>
      </c>
      <c r="N56" s="55"/>
    </row>
    <row r="57" spans="2:14" ht="4.5" customHeight="1" thickBot="1">
      <c r="B57" s="15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5"/>
    </row>
    <row r="58" spans="2:14" ht="13.5" customHeight="1" thickBot="1" thickTop="1">
      <c r="B58" s="26"/>
      <c r="C58" s="137" t="s">
        <v>143</v>
      </c>
      <c r="D58" s="137"/>
      <c r="E58" s="137"/>
      <c r="F58" s="137"/>
      <c r="G58" s="137"/>
      <c r="H58" s="137"/>
      <c r="I58" s="137"/>
      <c r="J58" s="137"/>
      <c r="K58" s="137"/>
      <c r="L58" s="138">
        <f>L54-L55-L56</f>
        <v>24673.769906250003</v>
      </c>
      <c r="M58" s="139">
        <f>M54-M55-M56</f>
        <v>82.24589968749993</v>
      </c>
      <c r="N58" s="28"/>
    </row>
    <row r="59" ht="15" customHeight="1" thickBot="1"/>
    <row r="60" spans="2:14" ht="15" customHeight="1" thickBot="1">
      <c r="B60" s="224"/>
      <c r="C60" s="225" t="s">
        <v>159</v>
      </c>
      <c r="D60" s="226"/>
      <c r="E60" s="226"/>
      <c r="F60" s="226"/>
      <c r="G60" s="226"/>
      <c r="H60" s="226"/>
      <c r="I60" s="226"/>
      <c r="J60" s="226"/>
      <c r="K60" s="226"/>
      <c r="L60" s="226"/>
      <c r="M60" s="227">
        <f>M55+M56</f>
        <v>788.7541003125001</v>
      </c>
      <c r="N60" s="228"/>
    </row>
  </sheetData>
  <sheetProtection password="C99F" sheet="1"/>
  <mergeCells count="8">
    <mergeCell ref="C22:M22"/>
    <mergeCell ref="K26:M26"/>
    <mergeCell ref="K6:M6"/>
    <mergeCell ref="C25:M25"/>
    <mergeCell ref="C6:G6"/>
    <mergeCell ref="C18:M18"/>
    <mergeCell ref="C20:M20"/>
    <mergeCell ref="C21:M21"/>
  </mergeCells>
  <printOptions horizontalCentered="1"/>
  <pageMargins left="0.75" right="0.75" top="1" bottom="1" header="0.5" footer="0.5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showGridLines="0" zoomScale="110" zoomScaleNormal="110" zoomScalePageLayoutView="0" workbookViewId="0" topLeftCell="A1">
      <selection activeCell="A1" sqref="A1"/>
    </sheetView>
  </sheetViews>
  <sheetFormatPr defaultColWidth="11.421875" defaultRowHeight="15" customHeight="1"/>
  <cols>
    <col min="1" max="1" width="4.7109375" style="143" customWidth="1"/>
    <col min="2" max="2" width="0.85546875" style="143" customWidth="1"/>
    <col min="3" max="3" width="20.7109375" style="143" customWidth="1"/>
    <col min="4" max="9" width="10.7109375" style="143" customWidth="1"/>
    <col min="10" max="10" width="0.85546875" style="143" customWidth="1"/>
    <col min="11" max="16384" width="11.421875" style="143" customWidth="1"/>
  </cols>
  <sheetData>
    <row r="1" spans="3:9" ht="19.5" customHeight="1">
      <c r="C1" s="217" t="str">
        <f>Income!C2</f>
        <v>BEEF COW/CALF ENTERPRISE BUDGET</v>
      </c>
      <c r="I1" s="219">
        <f>Income!M2</f>
        <v>2022</v>
      </c>
    </row>
    <row r="2" spans="3:9" ht="19.5" customHeight="1" thickBot="1">
      <c r="C2" s="218" t="str">
        <f>Income!C3</f>
        <v>Estimated Costs and Returns - San Luis Valley</v>
      </c>
      <c r="D2" s="92"/>
      <c r="E2" s="92"/>
      <c r="F2" s="92"/>
      <c r="G2" s="92"/>
      <c r="H2" s="92"/>
      <c r="I2" s="92"/>
    </row>
    <row r="3" spans="3:6" ht="15" customHeight="1">
      <c r="C3" s="145"/>
      <c r="D3" s="145"/>
      <c r="E3" s="146"/>
      <c r="F3" s="147"/>
    </row>
    <row r="4" ht="15" customHeight="1" thickBot="1">
      <c r="C4" s="144" t="s">
        <v>145</v>
      </c>
    </row>
    <row r="5" spans="1:10" ht="15" customHeight="1">
      <c r="A5" s="148"/>
      <c r="B5" s="101"/>
      <c r="C5" s="89"/>
      <c r="D5" s="89"/>
      <c r="E5" s="76" t="s">
        <v>2</v>
      </c>
      <c r="F5" s="76"/>
      <c r="G5" s="76" t="s">
        <v>3</v>
      </c>
      <c r="H5" s="243" t="s">
        <v>4</v>
      </c>
      <c r="I5" s="243"/>
      <c r="J5" s="90"/>
    </row>
    <row r="6" spans="1:10" ht="15" customHeight="1">
      <c r="A6" s="148"/>
      <c r="B6" s="102"/>
      <c r="C6" s="77" t="s">
        <v>5</v>
      </c>
      <c r="D6" s="149" t="s">
        <v>6</v>
      </c>
      <c r="E6" s="150" t="s">
        <v>1</v>
      </c>
      <c r="F6" s="104" t="s">
        <v>7</v>
      </c>
      <c r="G6" s="78" t="s">
        <v>8</v>
      </c>
      <c r="H6" s="104" t="s">
        <v>9</v>
      </c>
      <c r="I6" s="104" t="s">
        <v>10</v>
      </c>
      <c r="J6" s="105"/>
    </row>
    <row r="7" spans="1:10" ht="4.5" customHeight="1">
      <c r="A7" s="148"/>
      <c r="B7" s="102"/>
      <c r="C7" s="79"/>
      <c r="D7" s="118"/>
      <c r="E7" s="151"/>
      <c r="F7" s="112"/>
      <c r="G7" s="112"/>
      <c r="H7" s="112"/>
      <c r="I7" s="112"/>
      <c r="J7" s="105"/>
    </row>
    <row r="8" spans="1:10" ht="15" customHeight="1">
      <c r="A8" s="148"/>
      <c r="B8" s="102"/>
      <c r="C8" s="79" t="s">
        <v>11</v>
      </c>
      <c r="D8" s="118" t="s">
        <v>12</v>
      </c>
      <c r="E8" s="113">
        <v>25</v>
      </c>
      <c r="F8" s="114">
        <v>150</v>
      </c>
      <c r="G8" s="113">
        <v>250</v>
      </c>
      <c r="H8" s="126">
        <f>E8*F8*(G8/2000)</f>
        <v>468.75</v>
      </c>
      <c r="I8" s="152">
        <f>H8*Income!$G$8</f>
        <v>140625</v>
      </c>
      <c r="J8" s="105"/>
    </row>
    <row r="9" spans="1:10" ht="15" customHeight="1">
      <c r="A9" s="148"/>
      <c r="B9" s="102"/>
      <c r="C9" s="79" t="s">
        <v>13</v>
      </c>
      <c r="D9" s="118" t="s">
        <v>12</v>
      </c>
      <c r="E9" s="113">
        <v>0</v>
      </c>
      <c r="F9" s="114">
        <v>0</v>
      </c>
      <c r="G9" s="113">
        <v>0</v>
      </c>
      <c r="H9" s="126">
        <f>E9*F9*(G9/2000)</f>
        <v>0</v>
      </c>
      <c r="I9" s="152">
        <f>H9*Income!$G$8</f>
        <v>0</v>
      </c>
      <c r="J9" s="105"/>
    </row>
    <row r="10" spans="1:10" ht="15" customHeight="1">
      <c r="A10" s="148"/>
      <c r="B10" s="102"/>
      <c r="C10" s="79" t="s">
        <v>14</v>
      </c>
      <c r="D10" s="118" t="s">
        <v>15</v>
      </c>
      <c r="E10" s="113">
        <v>0</v>
      </c>
      <c r="F10" s="114">
        <v>0</v>
      </c>
      <c r="G10" s="113">
        <v>0</v>
      </c>
      <c r="H10" s="126">
        <f>E10*F10*G10</f>
        <v>0</v>
      </c>
      <c r="I10" s="152">
        <f>H10*Income!$G$8</f>
        <v>0</v>
      </c>
      <c r="J10" s="105"/>
    </row>
    <row r="11" spans="1:10" ht="15" customHeight="1">
      <c r="A11" s="148"/>
      <c r="B11" s="102"/>
      <c r="C11" s="79" t="s">
        <v>16</v>
      </c>
      <c r="D11" s="118" t="s">
        <v>12</v>
      </c>
      <c r="E11" s="113">
        <v>1</v>
      </c>
      <c r="F11" s="114">
        <v>90</v>
      </c>
      <c r="G11" s="113">
        <v>385</v>
      </c>
      <c r="H11" s="126">
        <f>E11*F11*(G11/2000)</f>
        <v>17.325</v>
      </c>
      <c r="I11" s="152">
        <f>H11*Income!$G$8</f>
        <v>5197.5</v>
      </c>
      <c r="J11" s="105"/>
    </row>
    <row r="12" spans="1:10" ht="15" customHeight="1">
      <c r="A12" s="148"/>
      <c r="B12" s="102"/>
      <c r="C12" s="79" t="s">
        <v>17</v>
      </c>
      <c r="D12" s="118" t="s">
        <v>12</v>
      </c>
      <c r="E12" s="113">
        <v>1</v>
      </c>
      <c r="F12" s="114">
        <v>365</v>
      </c>
      <c r="G12" s="113">
        <v>90</v>
      </c>
      <c r="H12" s="126">
        <f>E12*F12*(G12/2000)</f>
        <v>16.425</v>
      </c>
      <c r="I12" s="152">
        <f>H12*Income!$G$8</f>
        <v>4927.5</v>
      </c>
      <c r="J12" s="105"/>
    </row>
    <row r="13" spans="1:10" ht="15" customHeight="1">
      <c r="A13" s="148"/>
      <c r="B13" s="102"/>
      <c r="C13" s="79" t="s">
        <v>18</v>
      </c>
      <c r="D13" s="118" t="s">
        <v>24</v>
      </c>
      <c r="E13" s="153"/>
      <c r="F13" s="154"/>
      <c r="G13" s="153"/>
      <c r="H13" s="113">
        <v>0</v>
      </c>
      <c r="I13" s="152">
        <f>H13*Income!$G$8</f>
        <v>0</v>
      </c>
      <c r="J13" s="105"/>
    </row>
    <row r="14" spans="1:10" ht="4.5" customHeight="1" thickBot="1">
      <c r="A14" s="148"/>
      <c r="B14" s="102"/>
      <c r="C14" s="115"/>
      <c r="D14" s="155"/>
      <c r="E14" s="156"/>
      <c r="F14" s="157"/>
      <c r="G14" s="156"/>
      <c r="H14" s="158"/>
      <c r="I14" s="159"/>
      <c r="J14" s="105"/>
    </row>
    <row r="15" spans="1:10" ht="15" customHeight="1" thickBot="1" thickTop="1">
      <c r="A15" s="148"/>
      <c r="B15" s="110"/>
      <c r="C15" s="81" t="s">
        <v>19</v>
      </c>
      <c r="D15" s="92"/>
      <c r="E15" s="160">
        <f>SUM(E8:E14)</f>
        <v>27</v>
      </c>
      <c r="F15" s="82"/>
      <c r="G15" s="82"/>
      <c r="H15" s="161">
        <f>SUM(H8:H14)</f>
        <v>502.5</v>
      </c>
      <c r="I15" s="162">
        <f>SUM(I8:I14)</f>
        <v>150750</v>
      </c>
      <c r="J15" s="111"/>
    </row>
    <row r="16" spans="3:9" ht="15" customHeight="1">
      <c r="C16" s="144"/>
      <c r="H16" s="79"/>
      <c r="I16" s="107"/>
    </row>
    <row r="17" ht="15" customHeight="1" thickBot="1">
      <c r="C17" s="144" t="s">
        <v>146</v>
      </c>
    </row>
    <row r="18" spans="2:10" ht="15" customHeight="1">
      <c r="B18" s="101"/>
      <c r="C18" s="89"/>
      <c r="D18" s="89"/>
      <c r="E18" s="76"/>
      <c r="F18" s="76"/>
      <c r="G18" s="76" t="s">
        <v>3</v>
      </c>
      <c r="H18" s="243" t="s">
        <v>4</v>
      </c>
      <c r="I18" s="243"/>
      <c r="J18" s="90"/>
    </row>
    <row r="19" spans="2:10" ht="15" customHeight="1">
      <c r="B19" s="102"/>
      <c r="C19" s="77" t="s">
        <v>5</v>
      </c>
      <c r="D19" s="149" t="s">
        <v>6</v>
      </c>
      <c r="E19" s="78" t="s">
        <v>66</v>
      </c>
      <c r="F19" s="104" t="s">
        <v>7</v>
      </c>
      <c r="G19" s="78" t="s">
        <v>8</v>
      </c>
      <c r="H19" s="104" t="s">
        <v>9</v>
      </c>
      <c r="I19" s="104" t="s">
        <v>10</v>
      </c>
      <c r="J19" s="105"/>
    </row>
    <row r="20" spans="2:10" ht="4.5" customHeight="1">
      <c r="B20" s="102"/>
      <c r="C20" s="79"/>
      <c r="D20" s="118"/>
      <c r="E20" s="151"/>
      <c r="F20" s="112"/>
      <c r="G20" s="112"/>
      <c r="H20" s="112"/>
      <c r="I20" s="112"/>
      <c r="J20" s="105"/>
    </row>
    <row r="21" spans="2:10" ht="15" customHeight="1">
      <c r="B21" s="102"/>
      <c r="C21" s="79" t="s">
        <v>114</v>
      </c>
      <c r="D21" s="118" t="s">
        <v>0</v>
      </c>
      <c r="E21" s="114">
        <v>300</v>
      </c>
      <c r="F21" s="114">
        <v>210</v>
      </c>
      <c r="G21" s="113">
        <v>4</v>
      </c>
      <c r="H21" s="126">
        <f>E21*F21*(G21/2000)</f>
        <v>126</v>
      </c>
      <c r="I21" s="152">
        <f>H21*Income!$G$8</f>
        <v>37800</v>
      </c>
      <c r="J21" s="105"/>
    </row>
    <row r="22" spans="2:10" ht="15" customHeight="1">
      <c r="B22" s="102"/>
      <c r="C22" s="79" t="s">
        <v>115</v>
      </c>
      <c r="D22" s="118" t="s">
        <v>0</v>
      </c>
      <c r="E22" s="114"/>
      <c r="F22" s="114"/>
      <c r="G22" s="113"/>
      <c r="H22" s="126">
        <f>E22*F22*(G22/2000)</f>
        <v>0</v>
      </c>
      <c r="I22" s="152">
        <f>H22*Income!$G$8</f>
        <v>0</v>
      </c>
      <c r="J22" s="105"/>
    </row>
    <row r="23" spans="2:10" ht="15" customHeight="1">
      <c r="B23" s="102"/>
      <c r="C23" s="79" t="s">
        <v>116</v>
      </c>
      <c r="D23" s="118" t="s">
        <v>147</v>
      </c>
      <c r="E23" s="117"/>
      <c r="F23" s="220"/>
      <c r="G23" s="116"/>
      <c r="H23" s="113">
        <v>14</v>
      </c>
      <c r="I23" s="152">
        <f>H23*Income!$G$8</f>
        <v>4200</v>
      </c>
      <c r="J23" s="105"/>
    </row>
    <row r="24" spans="2:10" ht="15" customHeight="1">
      <c r="B24" s="102"/>
      <c r="C24" s="79" t="s">
        <v>63</v>
      </c>
      <c r="D24" s="118" t="s">
        <v>0</v>
      </c>
      <c r="E24" s="114"/>
      <c r="F24" s="114"/>
      <c r="G24" s="113"/>
      <c r="H24" s="126">
        <v>0</v>
      </c>
      <c r="I24" s="152">
        <f>H24*Income!$G$8</f>
        <v>0</v>
      </c>
      <c r="J24" s="105"/>
    </row>
    <row r="25" spans="2:10" ht="4.5" customHeight="1" thickBot="1">
      <c r="B25" s="102"/>
      <c r="C25" s="115"/>
      <c r="D25" s="155"/>
      <c r="E25" s="156"/>
      <c r="F25" s="157"/>
      <c r="G25" s="156"/>
      <c r="H25" s="158"/>
      <c r="I25" s="159"/>
      <c r="J25" s="105"/>
    </row>
    <row r="26" spans="2:10" ht="15" customHeight="1" thickBot="1" thickTop="1">
      <c r="B26" s="110"/>
      <c r="C26" s="81" t="s">
        <v>19</v>
      </c>
      <c r="D26" s="92"/>
      <c r="E26" s="160"/>
      <c r="F26" s="82"/>
      <c r="G26" s="82"/>
      <c r="H26" s="161">
        <f>SUM(H21:H25)</f>
        <v>140</v>
      </c>
      <c r="I26" s="162">
        <f>SUM(I21:I25)</f>
        <v>42000</v>
      </c>
      <c r="J26" s="111"/>
    </row>
    <row r="27" spans="3:9" ht="15" customHeight="1">
      <c r="C27" s="144"/>
      <c r="H27" s="79"/>
      <c r="I27" s="107"/>
    </row>
    <row r="28" spans="3:9" ht="15" customHeight="1" thickBot="1">
      <c r="C28" s="144" t="s">
        <v>117</v>
      </c>
      <c r="H28" s="79"/>
      <c r="I28" s="107"/>
    </row>
    <row r="29" spans="1:10" ht="15" customHeight="1">
      <c r="A29" s="148"/>
      <c r="B29" s="101"/>
      <c r="C29" s="89"/>
      <c r="D29" s="89"/>
      <c r="E29" s="89"/>
      <c r="F29" s="76" t="s">
        <v>118</v>
      </c>
      <c r="G29" s="76"/>
      <c r="H29" s="243" t="s">
        <v>4</v>
      </c>
      <c r="I29" s="243"/>
      <c r="J29" s="90"/>
    </row>
    <row r="30" spans="1:10" ht="15" customHeight="1">
      <c r="A30" s="148"/>
      <c r="B30" s="102"/>
      <c r="C30" s="77" t="s">
        <v>5</v>
      </c>
      <c r="D30" s="83" t="s">
        <v>6</v>
      </c>
      <c r="E30" s="78" t="s">
        <v>66</v>
      </c>
      <c r="F30" s="78" t="s">
        <v>119</v>
      </c>
      <c r="G30" s="104"/>
      <c r="H30" s="104" t="s">
        <v>9</v>
      </c>
      <c r="I30" s="104" t="s">
        <v>10</v>
      </c>
      <c r="J30" s="105"/>
    </row>
    <row r="31" spans="1:10" ht="4.5" customHeight="1">
      <c r="A31" s="148"/>
      <c r="B31" s="102"/>
      <c r="C31" s="79"/>
      <c r="D31" s="118"/>
      <c r="E31" s="112"/>
      <c r="F31" s="112"/>
      <c r="G31" s="107"/>
      <c r="H31" s="112"/>
      <c r="I31" s="112"/>
      <c r="J31" s="105"/>
    </row>
    <row r="32" spans="1:10" ht="15" customHeight="1">
      <c r="A32" s="148"/>
      <c r="B32" s="102"/>
      <c r="C32" s="79" t="s">
        <v>20</v>
      </c>
      <c r="D32" s="118" t="s">
        <v>21</v>
      </c>
      <c r="E32" s="120">
        <v>0</v>
      </c>
      <c r="F32" s="119">
        <v>0</v>
      </c>
      <c r="H32" s="126">
        <f>I32/Income!$G$8</f>
        <v>0</v>
      </c>
      <c r="I32" s="152">
        <f>E32*F32</f>
        <v>0</v>
      </c>
      <c r="J32" s="105"/>
    </row>
    <row r="33" spans="1:10" ht="15" customHeight="1">
      <c r="A33" s="148"/>
      <c r="B33" s="102"/>
      <c r="C33" s="143" t="s">
        <v>22</v>
      </c>
      <c r="D33" s="163" t="s">
        <v>24</v>
      </c>
      <c r="H33" s="126">
        <f>I33/Income!$G$8</f>
        <v>0</v>
      </c>
      <c r="I33" s="121">
        <v>0</v>
      </c>
      <c r="J33" s="105"/>
    </row>
    <row r="34" spans="1:10" ht="15" customHeight="1">
      <c r="A34" s="148"/>
      <c r="B34" s="102"/>
      <c r="C34" s="79" t="s">
        <v>23</v>
      </c>
      <c r="D34" s="118" t="s">
        <v>24</v>
      </c>
      <c r="E34" s="120">
        <v>2200</v>
      </c>
      <c r="F34" s="85">
        <v>1</v>
      </c>
      <c r="H34" s="126">
        <f>I34/Income!$G$8</f>
        <v>7.333333333333333</v>
      </c>
      <c r="I34" s="152">
        <f>E34*F34</f>
        <v>2200</v>
      </c>
      <c r="J34" s="105"/>
    </row>
    <row r="35" spans="1:10" ht="15" customHeight="1">
      <c r="A35" s="148"/>
      <c r="B35" s="102"/>
      <c r="C35" s="79" t="s">
        <v>25</v>
      </c>
      <c r="D35" s="118" t="s">
        <v>24</v>
      </c>
      <c r="E35" s="120">
        <v>4923</v>
      </c>
      <c r="F35" s="85">
        <v>1</v>
      </c>
      <c r="H35" s="126">
        <f>I35/Income!$G$8</f>
        <v>16.41</v>
      </c>
      <c r="I35" s="152">
        <f>E35*F35</f>
        <v>4923</v>
      </c>
      <c r="J35" s="105"/>
    </row>
    <row r="36" spans="1:10" ht="15" customHeight="1">
      <c r="A36" s="148"/>
      <c r="B36" s="102"/>
      <c r="C36" s="79" t="s">
        <v>63</v>
      </c>
      <c r="D36" s="118" t="s">
        <v>24</v>
      </c>
      <c r="E36" s="120">
        <v>0</v>
      </c>
      <c r="F36" s="85">
        <v>1</v>
      </c>
      <c r="H36" s="126">
        <f>I36/Income!$G$8</f>
        <v>0</v>
      </c>
      <c r="I36" s="152">
        <f>E36*F36</f>
        <v>0</v>
      </c>
      <c r="J36" s="105"/>
    </row>
    <row r="37" spans="1:10" ht="4.5" customHeight="1" thickBot="1">
      <c r="A37" s="148"/>
      <c r="B37" s="102"/>
      <c r="C37" s="115"/>
      <c r="D37" s="164"/>
      <c r="E37" s="165"/>
      <c r="F37" s="86"/>
      <c r="G37" s="97"/>
      <c r="H37" s="158"/>
      <c r="I37" s="159"/>
      <c r="J37" s="105"/>
    </row>
    <row r="38" spans="1:10" ht="15" customHeight="1" thickBot="1" thickTop="1">
      <c r="A38" s="148"/>
      <c r="B38" s="110"/>
      <c r="C38" s="81" t="s">
        <v>71</v>
      </c>
      <c r="D38" s="92"/>
      <c r="E38" s="92"/>
      <c r="F38" s="92"/>
      <c r="G38" s="92"/>
      <c r="H38" s="87">
        <f>SUM(H32:H37)</f>
        <v>23.743333333333332</v>
      </c>
      <c r="I38" s="88">
        <f>SUM(I32:I37)</f>
        <v>7123</v>
      </c>
      <c r="J38" s="111"/>
    </row>
    <row r="40" ht="15" customHeight="1" thickBot="1">
      <c r="C40" s="144" t="s">
        <v>120</v>
      </c>
    </row>
    <row r="41" spans="1:10" ht="15" customHeight="1">
      <c r="A41" s="148"/>
      <c r="B41" s="101"/>
      <c r="C41" s="89"/>
      <c r="D41" s="89"/>
      <c r="E41" s="89"/>
      <c r="F41" s="76" t="s">
        <v>3</v>
      </c>
      <c r="G41" s="89"/>
      <c r="H41" s="243" t="s">
        <v>4</v>
      </c>
      <c r="I41" s="243"/>
      <c r="J41" s="90"/>
    </row>
    <row r="42" spans="1:10" ht="15" customHeight="1">
      <c r="A42" s="148"/>
      <c r="B42" s="102"/>
      <c r="C42" s="77" t="s">
        <v>5</v>
      </c>
      <c r="D42" s="83" t="s">
        <v>6</v>
      </c>
      <c r="E42" s="78" t="s">
        <v>66</v>
      </c>
      <c r="F42" s="78" t="s">
        <v>26</v>
      </c>
      <c r="G42" s="103"/>
      <c r="H42" s="104" t="s">
        <v>9</v>
      </c>
      <c r="I42" s="104" t="s">
        <v>10</v>
      </c>
      <c r="J42" s="105"/>
    </row>
    <row r="43" spans="1:10" ht="4.5" customHeight="1">
      <c r="A43" s="148"/>
      <c r="B43" s="102"/>
      <c r="C43" s="79"/>
      <c r="D43" s="118"/>
      <c r="E43" s="112"/>
      <c r="F43" s="112"/>
      <c r="G43" s="107"/>
      <c r="H43" s="112"/>
      <c r="I43" s="112"/>
      <c r="J43" s="105"/>
    </row>
    <row r="44" spans="1:10" ht="15" customHeight="1">
      <c r="A44" s="148"/>
      <c r="B44" s="102"/>
      <c r="C44" s="79" t="s">
        <v>27</v>
      </c>
      <c r="D44" s="118" t="s">
        <v>121</v>
      </c>
      <c r="E44" s="166">
        <f>Income!G8</f>
        <v>300</v>
      </c>
      <c r="F44" s="123">
        <v>8.25</v>
      </c>
      <c r="G44" s="167"/>
      <c r="H44" s="126">
        <f>I44/Income!$G$8</f>
        <v>8.25</v>
      </c>
      <c r="I44" s="84">
        <f>E44*F44</f>
        <v>2475</v>
      </c>
      <c r="J44" s="105"/>
    </row>
    <row r="45" spans="1:10" ht="15" customHeight="1">
      <c r="A45" s="148"/>
      <c r="B45" s="102"/>
      <c r="C45" s="79" t="s">
        <v>29</v>
      </c>
      <c r="D45" s="118" t="s">
        <v>122</v>
      </c>
      <c r="E45" s="166">
        <f>Income!G8</f>
        <v>300</v>
      </c>
      <c r="F45" s="123">
        <v>0</v>
      </c>
      <c r="G45" s="167"/>
      <c r="H45" s="126">
        <f>I45/Income!$G$8</f>
        <v>0</v>
      </c>
      <c r="I45" s="84">
        <f>E45*F45</f>
        <v>0</v>
      </c>
      <c r="J45" s="105"/>
    </row>
    <row r="46" spans="1:10" ht="15" customHeight="1">
      <c r="A46" s="148"/>
      <c r="B46" s="102"/>
      <c r="C46" s="79" t="s">
        <v>30</v>
      </c>
      <c r="D46" s="118"/>
      <c r="E46" s="118"/>
      <c r="F46" s="118"/>
      <c r="G46" s="167"/>
      <c r="H46" s="126">
        <f>I46/Income!$G$8</f>
        <v>0</v>
      </c>
      <c r="I46" s="121">
        <v>0</v>
      </c>
      <c r="J46" s="105"/>
    </row>
    <row r="47" spans="1:10" ht="15" customHeight="1">
      <c r="A47" s="148"/>
      <c r="B47" s="102"/>
      <c r="C47" s="79" t="s">
        <v>31</v>
      </c>
      <c r="D47" s="118" t="s">
        <v>122</v>
      </c>
      <c r="E47" s="168">
        <f>Income!G8</f>
        <v>300</v>
      </c>
      <c r="F47" s="123">
        <v>3.75</v>
      </c>
      <c r="G47" s="167"/>
      <c r="H47" s="126">
        <f>I47/Income!$G$8</f>
        <v>3.75</v>
      </c>
      <c r="I47" s="84">
        <f>E47*F47</f>
        <v>1125</v>
      </c>
      <c r="J47" s="105"/>
    </row>
    <row r="48" spans="1:10" ht="15" customHeight="1">
      <c r="A48" s="148"/>
      <c r="B48" s="102"/>
      <c r="C48" s="79" t="s">
        <v>32</v>
      </c>
      <c r="D48" s="118" t="s">
        <v>123</v>
      </c>
      <c r="E48" s="168">
        <f>Income!M15</f>
        <v>15</v>
      </c>
      <c r="F48" s="123">
        <v>50</v>
      </c>
      <c r="G48" s="167"/>
      <c r="H48" s="126">
        <f>I48/Income!$G$8</f>
        <v>2.5</v>
      </c>
      <c r="I48" s="84">
        <f>E48*F48</f>
        <v>750</v>
      </c>
      <c r="J48" s="105"/>
    </row>
    <row r="49" spans="1:10" ht="15" customHeight="1">
      <c r="A49" s="148"/>
      <c r="B49" s="102"/>
      <c r="C49" s="79" t="s">
        <v>33</v>
      </c>
      <c r="D49" s="118"/>
      <c r="E49" s="118"/>
      <c r="F49" s="118"/>
      <c r="G49" s="167"/>
      <c r="H49" s="126">
        <f>I49/Income!$G$8</f>
        <v>1</v>
      </c>
      <c r="I49" s="121">
        <v>300</v>
      </c>
      <c r="J49" s="105"/>
    </row>
    <row r="50" spans="1:10" ht="15" customHeight="1">
      <c r="A50" s="148"/>
      <c r="B50" s="102"/>
      <c r="C50" s="143" t="s">
        <v>63</v>
      </c>
      <c r="D50" s="118"/>
      <c r="E50" s="118"/>
      <c r="F50" s="118"/>
      <c r="G50" s="167"/>
      <c r="H50" s="126">
        <f>I50/Income!$G$8</f>
        <v>0</v>
      </c>
      <c r="I50" s="121">
        <v>0</v>
      </c>
      <c r="J50" s="105"/>
    </row>
    <row r="51" spans="1:10" ht="4.5" customHeight="1" thickBot="1">
      <c r="A51" s="148"/>
      <c r="B51" s="102"/>
      <c r="C51" s="115"/>
      <c r="D51" s="169"/>
      <c r="E51" s="170"/>
      <c r="F51" s="171"/>
      <c r="G51" s="97"/>
      <c r="H51" s="158"/>
      <c r="I51" s="122"/>
      <c r="J51" s="105"/>
    </row>
    <row r="52" spans="1:10" ht="15" customHeight="1" thickBot="1" thickTop="1">
      <c r="A52" s="148"/>
      <c r="B52" s="110"/>
      <c r="C52" s="81" t="s">
        <v>34</v>
      </c>
      <c r="D52" s="92"/>
      <c r="E52" s="92"/>
      <c r="F52" s="92"/>
      <c r="G52" s="92"/>
      <c r="H52" s="93">
        <f>SUM(H44:H51)</f>
        <v>15.5</v>
      </c>
      <c r="I52" s="94">
        <f>SUM(I44:I51)</f>
        <v>4650</v>
      </c>
      <c r="J52" s="111"/>
    </row>
    <row r="54" ht="15" customHeight="1" thickBot="1">
      <c r="C54" s="144" t="s">
        <v>124</v>
      </c>
    </row>
    <row r="55" spans="1:10" ht="15" customHeight="1">
      <c r="A55" s="142"/>
      <c r="B55" s="101"/>
      <c r="C55" s="89"/>
      <c r="D55" s="89"/>
      <c r="E55" s="89"/>
      <c r="F55" s="76" t="s">
        <v>3</v>
      </c>
      <c r="G55" s="89"/>
      <c r="H55" s="243" t="s">
        <v>4</v>
      </c>
      <c r="I55" s="243"/>
      <c r="J55" s="90"/>
    </row>
    <row r="56" spans="1:10" ht="15" customHeight="1">
      <c r="A56" s="142"/>
      <c r="B56" s="102"/>
      <c r="C56" s="77" t="s">
        <v>5</v>
      </c>
      <c r="D56" s="83" t="s">
        <v>6</v>
      </c>
      <c r="E56" s="78" t="s">
        <v>66</v>
      </c>
      <c r="F56" s="78" t="s">
        <v>26</v>
      </c>
      <c r="G56" s="103"/>
      <c r="H56" s="104" t="s">
        <v>9</v>
      </c>
      <c r="I56" s="104" t="s">
        <v>10</v>
      </c>
      <c r="J56" s="105"/>
    </row>
    <row r="57" spans="1:10" ht="4.5" customHeight="1">
      <c r="A57" s="142"/>
      <c r="B57" s="102"/>
      <c r="C57" s="79"/>
      <c r="D57" s="118"/>
      <c r="E57" s="112"/>
      <c r="F57" s="112"/>
      <c r="G57" s="107"/>
      <c r="H57" s="112"/>
      <c r="I57" s="112"/>
      <c r="J57" s="105"/>
    </row>
    <row r="58" spans="1:10" ht="15" customHeight="1">
      <c r="A58" s="142"/>
      <c r="B58" s="102"/>
      <c r="C58" s="79" t="s">
        <v>36</v>
      </c>
      <c r="D58" s="172" t="s">
        <v>28</v>
      </c>
      <c r="E58" s="166">
        <f>Income!$G$8</f>
        <v>300</v>
      </c>
      <c r="F58" s="123">
        <v>5</v>
      </c>
      <c r="G58" s="167"/>
      <c r="H58" s="126">
        <f>I58/Income!$G$8</f>
        <v>5</v>
      </c>
      <c r="I58" s="84">
        <f>E58*F58</f>
        <v>1500</v>
      </c>
      <c r="J58" s="105"/>
    </row>
    <row r="59" spans="1:10" ht="15" customHeight="1">
      <c r="A59" s="142"/>
      <c r="B59" s="102"/>
      <c r="C59" s="79" t="s">
        <v>37</v>
      </c>
      <c r="D59" s="172"/>
      <c r="E59" s="174"/>
      <c r="F59" s="173"/>
      <c r="G59" s="167"/>
      <c r="H59" s="126">
        <f>I59/Income!$G$8</f>
        <v>0</v>
      </c>
      <c r="I59" s="121">
        <v>0</v>
      </c>
      <c r="J59" s="105"/>
    </row>
    <row r="60" spans="1:10" ht="15" customHeight="1">
      <c r="A60" s="142"/>
      <c r="B60" s="102"/>
      <c r="C60" s="79" t="s">
        <v>38</v>
      </c>
      <c r="D60" s="172" t="s">
        <v>28</v>
      </c>
      <c r="E60" s="166">
        <f>Income!$G$8</f>
        <v>300</v>
      </c>
      <c r="F60" s="123">
        <v>4.15</v>
      </c>
      <c r="G60" s="167"/>
      <c r="H60" s="126">
        <f>I60/Income!$G$8</f>
        <v>4.15</v>
      </c>
      <c r="I60" s="84">
        <f>E60*F60</f>
        <v>1245</v>
      </c>
      <c r="J60" s="105"/>
    </row>
    <row r="61" spans="1:10" ht="15" customHeight="1">
      <c r="A61" s="142"/>
      <c r="B61" s="102"/>
      <c r="C61" s="79" t="s">
        <v>63</v>
      </c>
      <c r="D61" s="172"/>
      <c r="E61" s="174"/>
      <c r="F61" s="173"/>
      <c r="G61" s="167"/>
      <c r="H61" s="126">
        <f>I61/Income!$G$8</f>
        <v>0</v>
      </c>
      <c r="I61" s="121">
        <v>0</v>
      </c>
      <c r="J61" s="105"/>
    </row>
    <row r="62" spans="1:10" ht="4.5" customHeight="1" thickBot="1">
      <c r="A62" s="142"/>
      <c r="B62" s="102"/>
      <c r="C62" s="80"/>
      <c r="D62" s="169"/>
      <c r="E62" s="170"/>
      <c r="F62" s="171"/>
      <c r="G62" s="175"/>
      <c r="H62" s="109"/>
      <c r="I62" s="91"/>
      <c r="J62" s="105"/>
    </row>
    <row r="63" spans="1:10" ht="15" customHeight="1" thickBot="1" thickTop="1">
      <c r="A63" s="142"/>
      <c r="B63" s="110"/>
      <c r="C63" s="81" t="s">
        <v>39</v>
      </c>
      <c r="D63" s="92"/>
      <c r="E63" s="92"/>
      <c r="F63" s="92"/>
      <c r="G63" s="92"/>
      <c r="H63" s="93">
        <f>SUM(H58:H62)</f>
        <v>9.15</v>
      </c>
      <c r="I63" s="94">
        <f>SUM(I58:I62)</f>
        <v>2745</v>
      </c>
      <c r="J63" s="111"/>
    </row>
    <row r="65" ht="15" customHeight="1" thickBot="1">
      <c r="C65" s="144" t="s">
        <v>125</v>
      </c>
    </row>
    <row r="66" spans="1:10" ht="15" customHeight="1">
      <c r="A66" s="142"/>
      <c r="B66" s="101"/>
      <c r="C66" s="89"/>
      <c r="D66" s="89"/>
      <c r="E66" s="89"/>
      <c r="F66" s="76" t="s">
        <v>3</v>
      </c>
      <c r="G66" s="89"/>
      <c r="H66" s="243" t="s">
        <v>4</v>
      </c>
      <c r="I66" s="243"/>
      <c r="J66" s="90"/>
    </row>
    <row r="67" spans="1:10" ht="15" customHeight="1">
      <c r="A67" s="142"/>
      <c r="B67" s="102"/>
      <c r="C67" s="77" t="s">
        <v>5</v>
      </c>
      <c r="D67" s="83" t="s">
        <v>6</v>
      </c>
      <c r="E67" s="78" t="s">
        <v>66</v>
      </c>
      <c r="F67" s="78" t="s">
        <v>26</v>
      </c>
      <c r="G67" s="103"/>
      <c r="H67" s="104" t="s">
        <v>9</v>
      </c>
      <c r="I67" s="104" t="s">
        <v>10</v>
      </c>
      <c r="J67" s="105"/>
    </row>
    <row r="68" spans="1:10" ht="15" customHeight="1">
      <c r="A68" s="142"/>
      <c r="B68" s="102"/>
      <c r="C68" s="79"/>
      <c r="D68" s="118"/>
      <c r="E68" s="112"/>
      <c r="F68" s="112"/>
      <c r="G68" s="107"/>
      <c r="H68" s="112"/>
      <c r="I68" s="112"/>
      <c r="J68" s="105"/>
    </row>
    <row r="69" spans="1:10" ht="15" customHeight="1">
      <c r="A69" s="142"/>
      <c r="B69" s="102"/>
      <c r="C69" s="79" t="s">
        <v>41</v>
      </c>
      <c r="D69" s="118" t="s">
        <v>126</v>
      </c>
      <c r="E69" s="121">
        <v>150</v>
      </c>
      <c r="F69" s="123">
        <v>6</v>
      </c>
      <c r="G69" s="167"/>
      <c r="H69" s="126">
        <f>I69/Income!$G$8</f>
        <v>3</v>
      </c>
      <c r="I69" s="84">
        <f>E69*F69</f>
        <v>900</v>
      </c>
      <c r="J69" s="105"/>
    </row>
    <row r="70" spans="1:10" ht="15" customHeight="1">
      <c r="A70" s="142"/>
      <c r="B70" s="102"/>
      <c r="C70" s="79" t="s">
        <v>42</v>
      </c>
      <c r="D70" s="118" t="s">
        <v>24</v>
      </c>
      <c r="E70" s="166">
        <f>Income!L37</f>
        <v>261300</v>
      </c>
      <c r="F70" s="124">
        <v>0.02</v>
      </c>
      <c r="G70" s="167"/>
      <c r="H70" s="126">
        <f>I70/Income!$G$8</f>
        <v>17.42</v>
      </c>
      <c r="I70" s="84">
        <f>E70*F70</f>
        <v>5226</v>
      </c>
      <c r="J70" s="105"/>
    </row>
    <row r="71" spans="1:10" ht="15" customHeight="1">
      <c r="A71" s="142"/>
      <c r="B71" s="102"/>
      <c r="C71" s="79" t="s">
        <v>43</v>
      </c>
      <c r="D71" s="172" t="s">
        <v>0</v>
      </c>
      <c r="E71" s="166">
        <f>Income!D37</f>
        <v>252.75</v>
      </c>
      <c r="F71" s="123">
        <v>1.5</v>
      </c>
      <c r="G71" s="167"/>
      <c r="H71" s="126">
        <f>I71/Income!$G$8</f>
        <v>1.26375</v>
      </c>
      <c r="I71" s="84">
        <f>E71*F71</f>
        <v>379.125</v>
      </c>
      <c r="J71" s="105"/>
    </row>
    <row r="72" spans="1:10" ht="15" customHeight="1">
      <c r="A72" s="142"/>
      <c r="B72" s="102"/>
      <c r="C72" s="79" t="s">
        <v>44</v>
      </c>
      <c r="D72" s="172" t="s">
        <v>0</v>
      </c>
      <c r="E72" s="166">
        <f>Income!D37</f>
        <v>252.75</v>
      </c>
      <c r="F72" s="123">
        <v>0.4</v>
      </c>
      <c r="G72" s="167"/>
      <c r="H72" s="126">
        <f>I72/Income!$G$8</f>
        <v>0.337</v>
      </c>
      <c r="I72" s="84">
        <f>E72*F72</f>
        <v>101.10000000000001</v>
      </c>
      <c r="J72" s="105"/>
    </row>
    <row r="73" spans="1:10" ht="15" customHeight="1">
      <c r="A73" s="142"/>
      <c r="B73" s="102"/>
      <c r="C73" s="79" t="s">
        <v>45</v>
      </c>
      <c r="D73" s="172"/>
      <c r="E73" s="174"/>
      <c r="F73" s="96"/>
      <c r="G73" s="167"/>
      <c r="H73" s="126">
        <f>I73/Income!$G$8</f>
        <v>0</v>
      </c>
      <c r="I73" s="121">
        <v>0</v>
      </c>
      <c r="J73" s="105"/>
    </row>
    <row r="74" spans="1:10" ht="15" customHeight="1">
      <c r="A74" s="142"/>
      <c r="B74" s="102"/>
      <c r="C74" s="79" t="s">
        <v>46</v>
      </c>
      <c r="D74" s="177"/>
      <c r="E74" s="174"/>
      <c r="F74" s="173"/>
      <c r="G74" s="167"/>
      <c r="H74" s="126">
        <f>I74/Income!$G$8</f>
        <v>0</v>
      </c>
      <c r="I74" s="121">
        <v>0</v>
      </c>
      <c r="J74" s="105"/>
    </row>
    <row r="75" spans="1:10" ht="15" customHeight="1">
      <c r="A75" s="142"/>
      <c r="B75" s="102"/>
      <c r="C75" s="79" t="s">
        <v>63</v>
      </c>
      <c r="D75" s="177"/>
      <c r="E75" s="174"/>
      <c r="F75" s="173"/>
      <c r="G75" s="167"/>
      <c r="H75" s="126">
        <f>I75/Income!$G$8</f>
        <v>0</v>
      </c>
      <c r="I75" s="121">
        <v>0</v>
      </c>
      <c r="J75" s="105"/>
    </row>
    <row r="76" spans="1:10" ht="4.5" customHeight="1" thickBot="1">
      <c r="A76" s="142"/>
      <c r="B76" s="102"/>
      <c r="C76" s="80"/>
      <c r="D76" s="178"/>
      <c r="E76" s="179"/>
      <c r="F76" s="180"/>
      <c r="G76" s="175"/>
      <c r="H76" s="109"/>
      <c r="I76" s="91"/>
      <c r="J76" s="105"/>
    </row>
    <row r="77" spans="1:10" ht="15" customHeight="1" thickBot="1" thickTop="1">
      <c r="A77" s="142"/>
      <c r="B77" s="110"/>
      <c r="C77" s="81" t="s">
        <v>47</v>
      </c>
      <c r="D77" s="92"/>
      <c r="E77" s="92"/>
      <c r="F77" s="92"/>
      <c r="G77" s="92"/>
      <c r="H77" s="93">
        <f>SUM(H69:H72)</f>
        <v>22.020750000000003</v>
      </c>
      <c r="I77" s="94">
        <f>SUM(I69:I72)</f>
        <v>6606.225</v>
      </c>
      <c r="J77" s="111"/>
    </row>
    <row r="79" ht="15" customHeight="1" thickBot="1">
      <c r="C79" s="144" t="s">
        <v>48</v>
      </c>
    </row>
    <row r="80" spans="1:10" ht="15" customHeight="1">
      <c r="A80" s="148"/>
      <c r="B80" s="101"/>
      <c r="C80" s="89"/>
      <c r="D80" s="95"/>
      <c r="E80" s="89"/>
      <c r="F80" s="76"/>
      <c r="G80" s="89"/>
      <c r="H80" s="243" t="s">
        <v>4</v>
      </c>
      <c r="I80" s="243"/>
      <c r="J80" s="90"/>
    </row>
    <row r="81" spans="1:10" ht="15" customHeight="1">
      <c r="A81" s="148"/>
      <c r="B81" s="102"/>
      <c r="C81" s="77" t="s">
        <v>5</v>
      </c>
      <c r="D81" s="83"/>
      <c r="E81" s="78"/>
      <c r="F81" s="78"/>
      <c r="G81" s="103"/>
      <c r="H81" s="104" t="s">
        <v>9</v>
      </c>
      <c r="I81" s="104" t="s">
        <v>10</v>
      </c>
      <c r="J81" s="105"/>
    </row>
    <row r="82" spans="1:10" ht="4.5" customHeight="1">
      <c r="A82" s="148"/>
      <c r="B82" s="102"/>
      <c r="C82" s="79"/>
      <c r="D82" s="118"/>
      <c r="E82" s="112"/>
      <c r="F82" s="112"/>
      <c r="G82" s="107"/>
      <c r="H82" s="112"/>
      <c r="I82" s="112"/>
      <c r="J82" s="105"/>
    </row>
    <row r="83" spans="1:10" ht="15" customHeight="1">
      <c r="A83" s="148"/>
      <c r="B83" s="102"/>
      <c r="C83" s="79" t="s">
        <v>49</v>
      </c>
      <c r="D83" s="177"/>
      <c r="E83" s="174"/>
      <c r="F83" s="173"/>
      <c r="G83" s="167"/>
      <c r="H83" s="126">
        <f>I83/Income!$G$8</f>
        <v>3.3333333333333335</v>
      </c>
      <c r="I83" s="121">
        <v>1000</v>
      </c>
      <c r="J83" s="105"/>
    </row>
    <row r="84" spans="1:10" ht="15" customHeight="1">
      <c r="A84" s="148"/>
      <c r="B84" s="102"/>
      <c r="C84" s="79" t="s">
        <v>50</v>
      </c>
      <c r="D84" s="177"/>
      <c r="E84" s="174"/>
      <c r="F84" s="173"/>
      <c r="G84" s="167"/>
      <c r="H84" s="126">
        <f>I84/Income!$G$8</f>
        <v>0</v>
      </c>
      <c r="I84" s="121">
        <v>0</v>
      </c>
      <c r="J84" s="105"/>
    </row>
    <row r="85" spans="1:10" ht="15" customHeight="1">
      <c r="A85" s="148"/>
      <c r="B85" s="102"/>
      <c r="C85" s="79" t="s">
        <v>51</v>
      </c>
      <c r="D85" s="177"/>
      <c r="E85" s="174"/>
      <c r="F85" s="173"/>
      <c r="G85" s="167"/>
      <c r="H85" s="126">
        <f>I85/Income!$G$8</f>
        <v>0</v>
      </c>
      <c r="I85" s="121">
        <v>0</v>
      </c>
      <c r="J85" s="105"/>
    </row>
    <row r="86" spans="1:10" ht="15" customHeight="1">
      <c r="A86" s="148"/>
      <c r="B86" s="102"/>
      <c r="C86" s="79" t="s">
        <v>52</v>
      </c>
      <c r="D86" s="177"/>
      <c r="E86" s="174"/>
      <c r="F86" s="173"/>
      <c r="G86" s="167"/>
      <c r="H86" s="126">
        <f>I86/Income!$G$8</f>
        <v>0</v>
      </c>
      <c r="I86" s="121">
        <v>0</v>
      </c>
      <c r="J86" s="105"/>
    </row>
    <row r="87" spans="1:10" ht="15" customHeight="1">
      <c r="A87" s="148"/>
      <c r="B87" s="102"/>
      <c r="C87" s="79" t="s">
        <v>63</v>
      </c>
      <c r="D87" s="177"/>
      <c r="E87" s="174"/>
      <c r="F87" s="173"/>
      <c r="G87" s="167"/>
      <c r="H87" s="126">
        <f>I87/Income!$G$8</f>
        <v>0</v>
      </c>
      <c r="I87" s="121">
        <v>0</v>
      </c>
      <c r="J87" s="105"/>
    </row>
    <row r="88" spans="1:10" ht="4.5" customHeight="1" thickBot="1">
      <c r="A88" s="148"/>
      <c r="B88" s="102"/>
      <c r="C88" s="115"/>
      <c r="D88" s="155"/>
      <c r="E88" s="179"/>
      <c r="F88" s="97"/>
      <c r="G88" s="97"/>
      <c r="H88" s="158"/>
      <c r="I88" s="122"/>
      <c r="J88" s="105"/>
    </row>
    <row r="89" spans="1:10" ht="15" customHeight="1" thickBot="1" thickTop="1">
      <c r="A89" s="148"/>
      <c r="B89" s="110"/>
      <c r="C89" s="81" t="s">
        <v>69</v>
      </c>
      <c r="D89" s="92"/>
      <c r="E89" s="92"/>
      <c r="F89" s="92"/>
      <c r="G89" s="92"/>
      <c r="H89" s="93">
        <f>SUM(H83:H88)</f>
        <v>3.3333333333333335</v>
      </c>
      <c r="I89" s="94">
        <f>SUM(I83:I88)</f>
        <v>1000</v>
      </c>
      <c r="J89" s="111"/>
    </row>
    <row r="91" ht="15" customHeight="1" thickBot="1">
      <c r="C91" s="144" t="s">
        <v>127</v>
      </c>
    </row>
    <row r="92" spans="1:10" ht="15" customHeight="1">
      <c r="A92" s="142"/>
      <c r="B92" s="101"/>
      <c r="C92" s="89"/>
      <c r="D92" s="89"/>
      <c r="E92" s="89"/>
      <c r="F92" s="76"/>
      <c r="G92" s="89"/>
      <c r="H92" s="243" t="s">
        <v>4</v>
      </c>
      <c r="I92" s="243"/>
      <c r="J92" s="90"/>
    </row>
    <row r="93" spans="1:10" ht="15" customHeight="1">
      <c r="A93" s="142"/>
      <c r="B93" s="102"/>
      <c r="C93" s="77" t="s">
        <v>5</v>
      </c>
      <c r="D93" s="83"/>
      <c r="E93" s="78"/>
      <c r="F93" s="78"/>
      <c r="G93" s="103"/>
      <c r="H93" s="104" t="s">
        <v>9</v>
      </c>
      <c r="I93" s="104" t="s">
        <v>10</v>
      </c>
      <c r="J93" s="105"/>
    </row>
    <row r="94" spans="1:10" ht="4.5" customHeight="1">
      <c r="A94" s="142"/>
      <c r="B94" s="102"/>
      <c r="C94" s="79"/>
      <c r="D94" s="118"/>
      <c r="E94" s="112"/>
      <c r="F94" s="112"/>
      <c r="G94" s="107"/>
      <c r="H94" s="112"/>
      <c r="I94" s="112"/>
      <c r="J94" s="105"/>
    </row>
    <row r="95" spans="1:10" ht="15" customHeight="1">
      <c r="A95" s="142"/>
      <c r="B95" s="102"/>
      <c r="C95" s="79" t="s">
        <v>54</v>
      </c>
      <c r="D95" s="177"/>
      <c r="E95" s="174"/>
      <c r="F95" s="173"/>
      <c r="G95" s="167"/>
      <c r="H95" s="126">
        <f>I95/Income!$G$8</f>
        <v>0</v>
      </c>
      <c r="I95" s="121">
        <v>0</v>
      </c>
      <c r="J95" s="105"/>
    </row>
    <row r="96" spans="1:10" ht="15" customHeight="1">
      <c r="A96" s="142"/>
      <c r="B96" s="102"/>
      <c r="C96" s="79" t="s">
        <v>55</v>
      </c>
      <c r="E96" s="174"/>
      <c r="F96" s="176">
        <v>0.08</v>
      </c>
      <c r="G96" s="167"/>
      <c r="H96" s="126">
        <f>I96/Income!$G$8</f>
        <v>0</v>
      </c>
      <c r="I96" s="166">
        <f>I95*F96</f>
        <v>0</v>
      </c>
      <c r="J96" s="105"/>
    </row>
    <row r="97" spans="1:10" ht="15" customHeight="1">
      <c r="A97" s="142"/>
      <c r="B97" s="102"/>
      <c r="C97" s="79" t="s">
        <v>128</v>
      </c>
      <c r="D97" s="181"/>
      <c r="E97" s="174"/>
      <c r="F97" s="173"/>
      <c r="G97" s="167"/>
      <c r="H97" s="126">
        <f>I97/Income!$G$8</f>
        <v>0</v>
      </c>
      <c r="I97" s="121">
        <v>0</v>
      </c>
      <c r="J97" s="105"/>
    </row>
    <row r="98" spans="1:10" ht="15" customHeight="1">
      <c r="A98" s="142"/>
      <c r="B98" s="102"/>
      <c r="C98" s="79" t="s">
        <v>56</v>
      </c>
      <c r="D98" s="177"/>
      <c r="E98" s="174"/>
      <c r="F98" s="173"/>
      <c r="G98" s="167"/>
      <c r="H98" s="126">
        <f>I98/Income!$G$8</f>
        <v>0</v>
      </c>
      <c r="I98" s="121">
        <v>0</v>
      </c>
      <c r="J98" s="105"/>
    </row>
    <row r="99" spans="1:10" ht="15" customHeight="1">
      <c r="A99" s="142"/>
      <c r="B99" s="102"/>
      <c r="C99" s="79" t="s">
        <v>57</v>
      </c>
      <c r="D99" s="177"/>
      <c r="E99" s="174"/>
      <c r="F99" s="173"/>
      <c r="G99" s="167"/>
      <c r="H99" s="126">
        <f>I99/Income!$G$8</f>
        <v>0</v>
      </c>
      <c r="I99" s="121">
        <v>0</v>
      </c>
      <c r="J99" s="105"/>
    </row>
    <row r="100" spans="1:10" ht="15" customHeight="1">
      <c r="A100" s="142"/>
      <c r="B100" s="102"/>
      <c r="C100" s="79" t="s">
        <v>58</v>
      </c>
      <c r="D100" s="177"/>
      <c r="E100" s="174"/>
      <c r="F100" s="173"/>
      <c r="G100" s="167"/>
      <c r="H100" s="126">
        <f>I100/Income!$G$8</f>
        <v>0</v>
      </c>
      <c r="I100" s="121">
        <v>0</v>
      </c>
      <c r="J100" s="105"/>
    </row>
    <row r="101" spans="1:10" ht="15" customHeight="1">
      <c r="A101" s="142"/>
      <c r="B101" s="102"/>
      <c r="C101" s="79" t="s">
        <v>63</v>
      </c>
      <c r="D101" s="177"/>
      <c r="E101" s="174"/>
      <c r="F101" s="173"/>
      <c r="G101" s="167"/>
      <c r="H101" s="126">
        <f>I101/Income!$G$8</f>
        <v>0</v>
      </c>
      <c r="I101" s="121">
        <v>0</v>
      </c>
      <c r="J101" s="105"/>
    </row>
    <row r="102" spans="1:10" ht="4.5" customHeight="1" thickBot="1">
      <c r="A102" s="142"/>
      <c r="B102" s="102"/>
      <c r="C102" s="115"/>
      <c r="D102" s="164"/>
      <c r="E102" s="182"/>
      <c r="F102" s="99"/>
      <c r="G102" s="183"/>
      <c r="H102" s="158"/>
      <c r="I102" s="125"/>
      <c r="J102" s="105"/>
    </row>
    <row r="103" spans="1:10" ht="15" customHeight="1" thickBot="1" thickTop="1">
      <c r="A103" s="142"/>
      <c r="B103" s="110"/>
      <c r="C103" s="81" t="s">
        <v>68</v>
      </c>
      <c r="D103" s="92"/>
      <c r="E103" s="92"/>
      <c r="F103" s="92"/>
      <c r="G103" s="92"/>
      <c r="H103" s="93">
        <f>SUM(H95:H102)</f>
        <v>0</v>
      </c>
      <c r="I103" s="94">
        <f>SUM(I95:I102)</f>
        <v>0</v>
      </c>
      <c r="J103" s="111"/>
    </row>
    <row r="105" ht="15" customHeight="1" thickBot="1">
      <c r="C105" s="144" t="s">
        <v>129</v>
      </c>
    </row>
    <row r="106" spans="1:10" ht="15" customHeight="1">
      <c r="A106" s="142"/>
      <c r="B106" s="101"/>
      <c r="C106" s="89"/>
      <c r="D106" s="89"/>
      <c r="E106" s="95" t="s">
        <v>148</v>
      </c>
      <c r="F106" s="76"/>
      <c r="G106" s="89"/>
      <c r="H106" s="243" t="s">
        <v>4</v>
      </c>
      <c r="I106" s="243"/>
      <c r="J106" s="90"/>
    </row>
    <row r="107" spans="1:10" ht="15" customHeight="1">
      <c r="A107" s="142"/>
      <c r="B107" s="102"/>
      <c r="C107" s="77" t="s">
        <v>5</v>
      </c>
      <c r="D107" s="83" t="s">
        <v>102</v>
      </c>
      <c r="E107" s="83" t="s">
        <v>149</v>
      </c>
      <c r="F107" s="83" t="s">
        <v>67</v>
      </c>
      <c r="G107" s="103"/>
      <c r="H107" s="104" t="s">
        <v>9</v>
      </c>
      <c r="I107" s="104" t="s">
        <v>10</v>
      </c>
      <c r="J107" s="105"/>
    </row>
    <row r="108" spans="1:10" ht="4.5" customHeight="1">
      <c r="A108" s="142"/>
      <c r="B108" s="102"/>
      <c r="C108" s="79"/>
      <c r="D108" s="118"/>
      <c r="E108" s="112"/>
      <c r="F108" s="112"/>
      <c r="G108" s="107"/>
      <c r="H108" s="112"/>
      <c r="I108" s="112"/>
      <c r="J108" s="105"/>
    </row>
    <row r="109" spans="1:10" ht="15" customHeight="1">
      <c r="A109" s="142"/>
      <c r="B109" s="102"/>
      <c r="C109" s="79" t="s">
        <v>130</v>
      </c>
      <c r="D109" s="106">
        <f>(I15+I26+I38+I52+I63+I77+I89+I103)</f>
        <v>214874.225</v>
      </c>
      <c r="E109" s="127">
        <v>0.5</v>
      </c>
      <c r="F109" s="124">
        <v>0.0675</v>
      </c>
      <c r="G109" s="107"/>
      <c r="H109" s="126">
        <f>I109/Income!$G$8</f>
        <v>24.173350312500002</v>
      </c>
      <c r="I109" s="98">
        <f>D109*E109*F109</f>
        <v>7252.005093750001</v>
      </c>
      <c r="J109" s="105"/>
    </row>
    <row r="110" spans="1:10" ht="15" customHeight="1">
      <c r="A110" s="142"/>
      <c r="B110" s="102"/>
      <c r="C110" s="79" t="s">
        <v>131</v>
      </c>
      <c r="E110" s="184"/>
      <c r="F110" s="181"/>
      <c r="G110" s="107"/>
      <c r="H110" s="126">
        <f>I110/Income!$G$8</f>
        <v>0</v>
      </c>
      <c r="I110" s="121">
        <v>0</v>
      </c>
      <c r="J110" s="105"/>
    </row>
    <row r="111" spans="1:10" ht="15" customHeight="1">
      <c r="A111" s="142"/>
      <c r="B111" s="102"/>
      <c r="C111" s="79" t="s">
        <v>132</v>
      </c>
      <c r="E111" s="184"/>
      <c r="F111" s="181"/>
      <c r="G111" s="107"/>
      <c r="H111" s="126">
        <f>I111/Income!$G$8</f>
        <v>0</v>
      </c>
      <c r="I111" s="121">
        <v>0</v>
      </c>
      <c r="J111" s="105"/>
    </row>
    <row r="112" spans="1:10" ht="15" customHeight="1">
      <c r="A112" s="142"/>
      <c r="B112" s="102"/>
      <c r="C112" s="79" t="s">
        <v>64</v>
      </c>
      <c r="E112" s="184"/>
      <c r="F112" s="181"/>
      <c r="G112" s="107"/>
      <c r="H112" s="126">
        <f>I112/Income!$G$8</f>
        <v>0</v>
      </c>
      <c r="I112" s="121">
        <v>0</v>
      </c>
      <c r="J112" s="105"/>
    </row>
    <row r="113" spans="1:10" ht="4.5" customHeight="1" thickBot="1">
      <c r="A113" s="142"/>
      <c r="B113" s="102"/>
      <c r="C113" s="80"/>
      <c r="D113" s="185"/>
      <c r="E113" s="186"/>
      <c r="F113" s="187"/>
      <c r="G113" s="108"/>
      <c r="H113" s="109"/>
      <c r="I113" s="100"/>
      <c r="J113" s="105"/>
    </row>
    <row r="114" spans="1:10" ht="15" customHeight="1" thickBot="1" thickTop="1">
      <c r="A114" s="142"/>
      <c r="B114" s="110"/>
      <c r="C114" s="81" t="s">
        <v>70</v>
      </c>
      <c r="D114" s="92"/>
      <c r="E114" s="92"/>
      <c r="F114" s="92"/>
      <c r="G114" s="92"/>
      <c r="H114" s="93">
        <f>SUM(H109:H113)</f>
        <v>24.173350312500002</v>
      </c>
      <c r="I114" s="94">
        <f>SUM(I109:I113)</f>
        <v>7252.005093750001</v>
      </c>
      <c r="J114" s="111"/>
    </row>
    <row r="116" ht="15" customHeight="1" thickBot="1">
      <c r="C116" s="144" t="s">
        <v>133</v>
      </c>
    </row>
    <row r="117" spans="1:10" ht="15" customHeight="1">
      <c r="A117" s="142"/>
      <c r="B117" s="101"/>
      <c r="C117" s="89"/>
      <c r="D117" s="89"/>
      <c r="E117" s="89"/>
      <c r="F117" s="76"/>
      <c r="G117" s="89"/>
      <c r="H117" s="243" t="s">
        <v>4</v>
      </c>
      <c r="I117" s="243"/>
      <c r="J117" s="90"/>
    </row>
    <row r="118" spans="1:10" ht="15" customHeight="1">
      <c r="A118" s="142"/>
      <c r="B118" s="102"/>
      <c r="C118" s="77" t="s">
        <v>5</v>
      </c>
      <c r="D118" s="83" t="s">
        <v>6</v>
      </c>
      <c r="E118" s="78" t="s">
        <v>66</v>
      </c>
      <c r="F118" s="78"/>
      <c r="G118" s="103"/>
      <c r="H118" s="104" t="s">
        <v>9</v>
      </c>
      <c r="I118" s="104" t="s">
        <v>10</v>
      </c>
      <c r="J118" s="105"/>
    </row>
    <row r="119" spans="1:10" ht="4.5" customHeight="1">
      <c r="A119" s="142"/>
      <c r="B119" s="102"/>
      <c r="C119" s="79"/>
      <c r="D119" s="118"/>
      <c r="E119" s="112"/>
      <c r="F119" s="112"/>
      <c r="G119" s="107"/>
      <c r="H119" s="112"/>
      <c r="I119" s="112"/>
      <c r="J119" s="105"/>
    </row>
    <row r="120" spans="1:10" ht="15" customHeight="1">
      <c r="A120" s="142"/>
      <c r="B120" s="102"/>
      <c r="C120" s="79" t="s">
        <v>88</v>
      </c>
      <c r="E120" s="184"/>
      <c r="F120" s="181"/>
      <c r="G120" s="107"/>
      <c r="H120" s="126">
        <f>I120/Income!$G$8</f>
        <v>40</v>
      </c>
      <c r="I120" s="121">
        <v>12000</v>
      </c>
      <c r="J120" s="105"/>
    </row>
    <row r="121" spans="1:10" ht="15" customHeight="1">
      <c r="A121" s="142"/>
      <c r="B121" s="102"/>
      <c r="C121" s="79" t="s">
        <v>89</v>
      </c>
      <c r="E121" s="184"/>
      <c r="F121" s="181"/>
      <c r="G121" s="107"/>
      <c r="H121" s="126">
        <f>I121/Income!$G$8</f>
        <v>8.333333333333334</v>
      </c>
      <c r="I121" s="121">
        <v>2500</v>
      </c>
      <c r="J121" s="105"/>
    </row>
    <row r="122" spans="1:10" ht="15" customHeight="1">
      <c r="A122" s="142"/>
      <c r="B122" s="102"/>
      <c r="C122" s="79" t="s">
        <v>90</v>
      </c>
      <c r="E122" s="184"/>
      <c r="F122" s="181"/>
      <c r="G122" s="107"/>
      <c r="H122" s="126">
        <f>I122/Income!$G$8</f>
        <v>0</v>
      </c>
      <c r="I122" s="121">
        <v>0</v>
      </c>
      <c r="J122" s="105"/>
    </row>
    <row r="123" spans="1:10" ht="4.5" customHeight="1" thickBot="1">
      <c r="A123" s="142"/>
      <c r="B123" s="102"/>
      <c r="C123" s="115"/>
      <c r="D123" s="164"/>
      <c r="E123" s="188"/>
      <c r="F123" s="189"/>
      <c r="G123" s="183"/>
      <c r="H123" s="158"/>
      <c r="I123" s="125"/>
      <c r="J123" s="105"/>
    </row>
    <row r="124" spans="1:16" ht="15" customHeight="1" thickBot="1" thickTop="1">
      <c r="A124" s="142"/>
      <c r="B124" s="110"/>
      <c r="C124" s="81" t="s">
        <v>68</v>
      </c>
      <c r="D124" s="92"/>
      <c r="E124" s="92"/>
      <c r="F124" s="92"/>
      <c r="G124" s="92"/>
      <c r="H124" s="93">
        <f>SUM(H120:H123)</f>
        <v>48.333333333333336</v>
      </c>
      <c r="I124" s="94">
        <f>SUM(I120:I123)</f>
        <v>14500</v>
      </c>
      <c r="J124" s="111"/>
      <c r="K124" s="190"/>
      <c r="L124" s="190"/>
      <c r="M124" s="190"/>
      <c r="N124" s="190"/>
      <c r="O124" s="190"/>
      <c r="P124" s="190"/>
    </row>
  </sheetData>
  <sheetProtection password="CA5F" sheet="1"/>
  <mergeCells count="10">
    <mergeCell ref="H5:I5"/>
    <mergeCell ref="H106:I106"/>
    <mergeCell ref="H92:I92"/>
    <mergeCell ref="H55:I55"/>
    <mergeCell ref="H18:I18"/>
    <mergeCell ref="H117:I117"/>
    <mergeCell ref="H66:I66"/>
    <mergeCell ref="H80:I80"/>
    <mergeCell ref="H29:I29"/>
    <mergeCell ref="H41:I41"/>
  </mergeCells>
  <printOptions horizontalCentered="1"/>
  <pageMargins left="0.75" right="0.75" top="1" bottom="1" header="0.5" footer="0.5"/>
  <pageSetup horizontalDpi="600" verticalDpi="600" orientation="portrait" r:id="rId1"/>
  <rowBreaks count="2" manualBreakCount="2">
    <brk id="38" max="255" man="1"/>
    <brk id="77" min="1" max="9" man="1"/>
  </rowBreaks>
  <ignoredErrors>
    <ignoredError sqref="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L27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1" customWidth="1"/>
    <col min="2" max="2" width="0.85546875" style="1" customWidth="1"/>
    <col min="3" max="10" width="8.7109375" style="1" customWidth="1"/>
    <col min="11" max="11" width="10.7109375" style="1" customWidth="1"/>
    <col min="12" max="12" width="0.85546875" style="1" customWidth="1"/>
    <col min="13" max="16384" width="8.8515625" style="1" customWidth="1"/>
  </cols>
  <sheetData>
    <row r="1" spans="3:12" ht="19.5" customHeight="1">
      <c r="C1" s="215" t="str">
        <f>Income!C2</f>
        <v>BEEF COW/CALF ENTERPRISE BUDGET</v>
      </c>
      <c r="D1" s="215"/>
      <c r="E1" s="215"/>
      <c r="F1" s="215"/>
      <c r="G1" s="215"/>
      <c r="H1" s="215"/>
      <c r="I1" s="215"/>
      <c r="J1" s="215"/>
      <c r="K1" s="215">
        <f>Income!M2</f>
        <v>2022</v>
      </c>
      <c r="L1" s="215"/>
    </row>
    <row r="2" spans="3:11" ht="19.5" customHeight="1" thickBot="1">
      <c r="C2" s="216" t="str">
        <f>Income!C3</f>
        <v>Estimated Costs and Returns - San Luis Valley</v>
      </c>
      <c r="D2" s="27"/>
      <c r="E2" s="27"/>
      <c r="F2" s="27"/>
      <c r="G2" s="27"/>
      <c r="H2" s="27"/>
      <c r="I2" s="27"/>
      <c r="J2" s="27"/>
      <c r="K2" s="27"/>
    </row>
    <row r="3" spans="3:11" ht="15" customHeight="1">
      <c r="C3" s="10"/>
      <c r="D3" s="10"/>
      <c r="E3" s="10"/>
      <c r="F3" s="10"/>
      <c r="G3" s="10"/>
      <c r="H3" s="10"/>
      <c r="I3" s="10"/>
      <c r="J3" s="191" t="s">
        <v>9</v>
      </c>
      <c r="K3" s="192" t="s">
        <v>10</v>
      </c>
    </row>
    <row r="4" spans="3:11" ht="15" customHeight="1">
      <c r="C4" s="193" t="s">
        <v>75</v>
      </c>
      <c r="D4" s="194"/>
      <c r="E4" s="194"/>
      <c r="F4" s="194"/>
      <c r="G4" s="194"/>
      <c r="H4" s="194"/>
      <c r="I4" s="194"/>
      <c r="J4" s="195">
        <f>Income!M37</f>
        <v>871</v>
      </c>
      <c r="K4" s="196">
        <f>Income!L37</f>
        <v>261300</v>
      </c>
    </row>
    <row r="5" spans="3:11" ht="15" customHeight="1">
      <c r="C5" s="193" t="s">
        <v>104</v>
      </c>
      <c r="D5" s="194"/>
      <c r="E5" s="194"/>
      <c r="F5" s="194"/>
      <c r="G5" s="194"/>
      <c r="H5" s="194"/>
      <c r="I5" s="194"/>
      <c r="J5" s="223">
        <f>Income!M55+Income!M56</f>
        <v>788.7541003125001</v>
      </c>
      <c r="K5" s="196">
        <f>Income!L50</f>
        <v>222126.23009375</v>
      </c>
    </row>
    <row r="6" spans="3:11" ht="15" customHeight="1">
      <c r="C6" s="193"/>
      <c r="D6" s="194"/>
      <c r="E6" s="194"/>
      <c r="F6" s="194"/>
      <c r="G6" s="194"/>
      <c r="H6" s="194"/>
      <c r="I6" s="194"/>
      <c r="J6" s="195"/>
      <c r="K6" s="197"/>
    </row>
    <row r="7" spans="3:11" ht="19.5" customHeight="1" thickBot="1">
      <c r="C7" s="206" t="s">
        <v>103</v>
      </c>
      <c r="D7" s="206"/>
      <c r="E7" s="206"/>
      <c r="F7" s="206"/>
      <c r="G7" s="206"/>
      <c r="H7" s="206"/>
      <c r="I7" s="48"/>
      <c r="J7" s="207">
        <f>J4-J5</f>
        <v>82.2458996874999</v>
      </c>
      <c r="K7" s="208">
        <f>K4-K5</f>
        <v>39173.76990625</v>
      </c>
    </row>
    <row r="8" ht="15" customHeight="1">
      <c r="K8" s="194"/>
    </row>
    <row r="9" spans="3:11" ht="15" customHeight="1" thickBot="1">
      <c r="C9" s="198" t="s">
        <v>91</v>
      </c>
      <c r="D9" s="10"/>
      <c r="E9" s="10"/>
      <c r="F9" s="10"/>
      <c r="G9" s="10"/>
      <c r="H9" s="10"/>
      <c r="I9" s="10"/>
      <c r="J9" s="10"/>
      <c r="K9" s="199"/>
    </row>
    <row r="10" spans="2:12" ht="15" customHeight="1">
      <c r="B10" s="4"/>
      <c r="C10" s="200" t="s">
        <v>92</v>
      </c>
      <c r="D10" s="200" t="s">
        <v>92</v>
      </c>
      <c r="E10" s="245" t="s">
        <v>108</v>
      </c>
      <c r="F10" s="245"/>
      <c r="G10" s="245"/>
      <c r="H10" s="245"/>
      <c r="I10" s="245"/>
      <c r="J10" s="245"/>
      <c r="K10" s="245"/>
      <c r="L10" s="61"/>
    </row>
    <row r="11" spans="2:12" ht="15" customHeight="1" thickBot="1">
      <c r="B11" s="15"/>
      <c r="C11" s="202" t="s">
        <v>93</v>
      </c>
      <c r="D11" s="201" t="s">
        <v>62</v>
      </c>
      <c r="E11" s="201">
        <v>350</v>
      </c>
      <c r="F11" s="201">
        <v>400</v>
      </c>
      <c r="G11" s="201">
        <v>450</v>
      </c>
      <c r="H11" s="201">
        <v>500</v>
      </c>
      <c r="I11" s="201">
        <v>600</v>
      </c>
      <c r="J11" s="201">
        <v>700</v>
      </c>
      <c r="K11" s="213">
        <f>J5</f>
        <v>788.7541003125001</v>
      </c>
      <c r="L11" s="55"/>
    </row>
    <row r="12" spans="2:12" ht="15" customHeight="1">
      <c r="B12" s="15"/>
      <c r="C12" s="246">
        <v>0.75</v>
      </c>
      <c r="D12" s="202">
        <v>400</v>
      </c>
      <c r="E12" s="211">
        <f>$E$11/$C$12/$D12</f>
        <v>1.1666666666666667</v>
      </c>
      <c r="F12" s="211">
        <f>$F$11/$C$12/$D12</f>
        <v>1.3333333333333335</v>
      </c>
      <c r="G12" s="211">
        <f>$G$11/$C$12/$D12</f>
        <v>1.5</v>
      </c>
      <c r="H12" s="211">
        <f>$H$11/$C$12/$D12</f>
        <v>1.6666666666666665</v>
      </c>
      <c r="I12" s="211">
        <f>$I$11/$C$12/$D12</f>
        <v>2</v>
      </c>
      <c r="J12" s="211">
        <f>$J$11/$C$12/$D12</f>
        <v>2.3333333333333335</v>
      </c>
      <c r="K12" s="210">
        <f>$K$11/C12/D12</f>
        <v>2.629180334375</v>
      </c>
      <c r="L12" s="55"/>
    </row>
    <row r="13" spans="2:12" ht="15" customHeight="1">
      <c r="B13" s="15"/>
      <c r="C13" s="246"/>
      <c r="D13" s="202">
        <v>500</v>
      </c>
      <c r="E13" s="211">
        <f>$E$11/$C$12/$D13</f>
        <v>0.9333333333333333</v>
      </c>
      <c r="F13" s="211">
        <f>$F$11/$C$12/$D13</f>
        <v>1.0666666666666667</v>
      </c>
      <c r="G13" s="211">
        <f>$G$11/$C$12/$D13</f>
        <v>1.2</v>
      </c>
      <c r="H13" s="211">
        <f>$H$11/$C$12/$D13</f>
        <v>1.3333333333333333</v>
      </c>
      <c r="I13" s="211">
        <f>$I$11/$C$12/$D13</f>
        <v>1.6</v>
      </c>
      <c r="J13" s="211">
        <f>$J$11/$C$12/$D13</f>
        <v>1.8666666666666667</v>
      </c>
      <c r="K13" s="210">
        <f>$K$11/C12/D13</f>
        <v>2.1033442675000003</v>
      </c>
      <c r="L13" s="55"/>
    </row>
    <row r="14" spans="2:12" ht="15" customHeight="1">
      <c r="B14" s="15"/>
      <c r="C14" s="247"/>
      <c r="D14" s="203">
        <v>600</v>
      </c>
      <c r="E14" s="209">
        <f>$E$11/$C$12/$D14</f>
        <v>0.7777777777777778</v>
      </c>
      <c r="F14" s="209">
        <f>$F$11/$C$12/$D14</f>
        <v>0.888888888888889</v>
      </c>
      <c r="G14" s="209">
        <f>$G$11/$C$12/$D14</f>
        <v>1</v>
      </c>
      <c r="H14" s="209">
        <f>$H$11/$C$12/$D14</f>
        <v>1.111111111111111</v>
      </c>
      <c r="I14" s="209">
        <f>$I$11/$C$12/$D14</f>
        <v>1.3333333333333333</v>
      </c>
      <c r="J14" s="209">
        <f>$J$11/$C$12/$D14</f>
        <v>1.5555555555555556</v>
      </c>
      <c r="K14" s="212">
        <f>$K$11/C12/D14</f>
        <v>1.7527868895833334</v>
      </c>
      <c r="L14" s="55"/>
    </row>
    <row r="15" spans="2:12" ht="15" customHeight="1">
      <c r="B15" s="15"/>
      <c r="C15" s="244">
        <v>0.8</v>
      </c>
      <c r="D15" s="202">
        <v>400</v>
      </c>
      <c r="E15" s="211">
        <f>$E$11/$C$15/$D15</f>
        <v>1.09375</v>
      </c>
      <c r="F15" s="211">
        <f>$F$11/$C$15/$D15</f>
        <v>1.25</v>
      </c>
      <c r="G15" s="211">
        <f>$G$11/$C$15/$D15</f>
        <v>1.40625</v>
      </c>
      <c r="H15" s="211">
        <f>$H$11/$C$15/$D15</f>
        <v>1.5625</v>
      </c>
      <c r="I15" s="211">
        <f>$I$11/$C$15/$D15</f>
        <v>1.875</v>
      </c>
      <c r="J15" s="211">
        <f>$J$11/$C$15/$D15</f>
        <v>2.1875</v>
      </c>
      <c r="K15" s="210">
        <f>$K$11/C15/D15</f>
        <v>2.4648565634765625</v>
      </c>
      <c r="L15" s="55"/>
    </row>
    <row r="16" spans="2:12" ht="15" customHeight="1">
      <c r="B16" s="15"/>
      <c r="C16" s="244"/>
      <c r="D16" s="202">
        <v>500</v>
      </c>
      <c r="E16" s="211">
        <f>$E$11/$C$15/$D16</f>
        <v>0.875</v>
      </c>
      <c r="F16" s="211">
        <f>$F$11/$C$15/$D16</f>
        <v>1</v>
      </c>
      <c r="G16" s="211">
        <f>$G$11/$C$15/$D16</f>
        <v>1.125</v>
      </c>
      <c r="H16" s="211">
        <f>$H$11/$C$15/$D16</f>
        <v>1.25</v>
      </c>
      <c r="I16" s="211">
        <f>$I$11/$C$15/$D16</f>
        <v>1.5</v>
      </c>
      <c r="J16" s="211">
        <f>$J$11/$C$15/$D16</f>
        <v>1.75</v>
      </c>
      <c r="K16" s="210">
        <f>$K$11/C15/D16</f>
        <v>1.97188525078125</v>
      </c>
      <c r="L16" s="55"/>
    </row>
    <row r="17" spans="2:12" ht="15" customHeight="1">
      <c r="B17" s="15"/>
      <c r="C17" s="244"/>
      <c r="D17" s="203">
        <v>600</v>
      </c>
      <c r="E17" s="209">
        <f>$E$11/$C$15/$D17</f>
        <v>0.7291666666666666</v>
      </c>
      <c r="F17" s="209">
        <f>$F$11/$C$15/$D17</f>
        <v>0.8333333333333334</v>
      </c>
      <c r="G17" s="209">
        <f>$G$11/$C$15/$D17</f>
        <v>0.9375</v>
      </c>
      <c r="H17" s="209">
        <f>$H$11/$C$15/$D17</f>
        <v>1.0416666666666667</v>
      </c>
      <c r="I17" s="209">
        <f>$I$11/$C$15/$D17</f>
        <v>1.25</v>
      </c>
      <c r="J17" s="209">
        <f>$J$11/$C$15/$D17</f>
        <v>1.4583333333333333</v>
      </c>
      <c r="K17" s="212">
        <f>$K$11/C15/D17</f>
        <v>1.643237708984375</v>
      </c>
      <c r="L17" s="55"/>
    </row>
    <row r="18" spans="2:12" ht="15" customHeight="1">
      <c r="B18" s="15"/>
      <c r="C18" s="244">
        <v>0.85</v>
      </c>
      <c r="D18" s="202">
        <v>400</v>
      </c>
      <c r="E18" s="211">
        <f aca="true" t="shared" si="0" ref="E18:J20">E$11/$C$18/$D18</f>
        <v>1.0294117647058822</v>
      </c>
      <c r="F18" s="211">
        <f t="shared" si="0"/>
        <v>1.1764705882352942</v>
      </c>
      <c r="G18" s="211">
        <f t="shared" si="0"/>
        <v>1.3235294117647058</v>
      </c>
      <c r="H18" s="211">
        <f t="shared" si="0"/>
        <v>1.4705882352941178</v>
      </c>
      <c r="I18" s="211">
        <f t="shared" si="0"/>
        <v>1.7647058823529411</v>
      </c>
      <c r="J18" s="211">
        <f t="shared" si="0"/>
        <v>2.0588235294117645</v>
      </c>
      <c r="K18" s="210">
        <f>$K$11/C18/D18</f>
        <v>2.319865000919118</v>
      </c>
      <c r="L18" s="55"/>
    </row>
    <row r="19" spans="2:12" ht="15" customHeight="1">
      <c r="B19" s="15"/>
      <c r="C19" s="244"/>
      <c r="D19" s="202">
        <v>500</v>
      </c>
      <c r="E19" s="211">
        <f t="shared" si="0"/>
        <v>0.8235294117647058</v>
      </c>
      <c r="F19" s="211">
        <f t="shared" si="0"/>
        <v>0.9411764705882354</v>
      </c>
      <c r="G19" s="211">
        <f t="shared" si="0"/>
        <v>1.0588235294117647</v>
      </c>
      <c r="H19" s="211">
        <f t="shared" si="0"/>
        <v>1.1764705882352942</v>
      </c>
      <c r="I19" s="211">
        <f t="shared" si="0"/>
        <v>1.411764705882353</v>
      </c>
      <c r="J19" s="211">
        <f t="shared" si="0"/>
        <v>1.6470588235294117</v>
      </c>
      <c r="K19" s="210">
        <f>$K$11/C18/D19</f>
        <v>1.8558920007352944</v>
      </c>
      <c r="L19" s="55"/>
    </row>
    <row r="20" spans="2:12" ht="15" customHeight="1">
      <c r="B20" s="15"/>
      <c r="C20" s="244"/>
      <c r="D20" s="203">
        <v>600</v>
      </c>
      <c r="E20" s="209">
        <f t="shared" si="0"/>
        <v>0.6862745098039216</v>
      </c>
      <c r="F20" s="209">
        <f t="shared" si="0"/>
        <v>0.7843137254901962</v>
      </c>
      <c r="G20" s="209">
        <f t="shared" si="0"/>
        <v>0.8823529411764706</v>
      </c>
      <c r="H20" s="209">
        <f t="shared" si="0"/>
        <v>0.9803921568627452</v>
      </c>
      <c r="I20" s="209">
        <f t="shared" si="0"/>
        <v>1.1764705882352942</v>
      </c>
      <c r="J20" s="209">
        <f t="shared" si="0"/>
        <v>1.3725490196078431</v>
      </c>
      <c r="K20" s="212">
        <f>$K$11/C18/D20</f>
        <v>1.5465766672794121</v>
      </c>
      <c r="L20" s="55"/>
    </row>
    <row r="21" spans="2:12" ht="15" customHeight="1">
      <c r="B21" s="15"/>
      <c r="C21" s="246">
        <v>0.9</v>
      </c>
      <c r="D21" s="202">
        <v>400</v>
      </c>
      <c r="E21" s="211">
        <f aca="true" t="shared" si="1" ref="E21:J23">E$11/$C$21/$D21</f>
        <v>0.9722222222222221</v>
      </c>
      <c r="F21" s="211">
        <f t="shared" si="1"/>
        <v>1.1111111111111112</v>
      </c>
      <c r="G21" s="211">
        <f t="shared" si="1"/>
        <v>1.25</v>
      </c>
      <c r="H21" s="211">
        <f t="shared" si="1"/>
        <v>1.3888888888888888</v>
      </c>
      <c r="I21" s="211">
        <f t="shared" si="1"/>
        <v>1.6666666666666665</v>
      </c>
      <c r="J21" s="211">
        <f t="shared" si="1"/>
        <v>1.9444444444444442</v>
      </c>
      <c r="K21" s="210">
        <f>$K$11/C21/D21</f>
        <v>2.190983611979167</v>
      </c>
      <c r="L21" s="55"/>
    </row>
    <row r="22" spans="2:12" ht="15" customHeight="1">
      <c r="B22" s="15"/>
      <c r="C22" s="246"/>
      <c r="D22" s="202">
        <v>500</v>
      </c>
      <c r="E22" s="211">
        <f t="shared" si="1"/>
        <v>0.7777777777777777</v>
      </c>
      <c r="F22" s="211">
        <f t="shared" si="1"/>
        <v>0.888888888888889</v>
      </c>
      <c r="G22" s="211">
        <f t="shared" si="1"/>
        <v>1</v>
      </c>
      <c r="H22" s="211">
        <f t="shared" si="1"/>
        <v>1.1111111111111112</v>
      </c>
      <c r="I22" s="211">
        <f t="shared" si="1"/>
        <v>1.3333333333333333</v>
      </c>
      <c r="J22" s="211">
        <f t="shared" si="1"/>
        <v>1.5555555555555554</v>
      </c>
      <c r="K22" s="210">
        <f>$K$11/C21/D22</f>
        <v>1.7527868895833334</v>
      </c>
      <c r="L22" s="55"/>
    </row>
    <row r="23" spans="2:12" ht="15" customHeight="1">
      <c r="B23" s="15"/>
      <c r="C23" s="247"/>
      <c r="D23" s="203">
        <v>600</v>
      </c>
      <c r="E23" s="209">
        <f t="shared" si="1"/>
        <v>0.6481481481481481</v>
      </c>
      <c r="F23" s="209">
        <f t="shared" si="1"/>
        <v>0.7407407407407408</v>
      </c>
      <c r="G23" s="209">
        <f t="shared" si="1"/>
        <v>0.8333333333333334</v>
      </c>
      <c r="H23" s="209">
        <f t="shared" si="1"/>
        <v>0.9259259259259259</v>
      </c>
      <c r="I23" s="209">
        <f t="shared" si="1"/>
        <v>1.111111111111111</v>
      </c>
      <c r="J23" s="209">
        <f t="shared" si="1"/>
        <v>1.2962962962962963</v>
      </c>
      <c r="K23" s="212">
        <f>$K$11/C21/D23</f>
        <v>1.4606557413194445</v>
      </c>
      <c r="L23" s="55"/>
    </row>
    <row r="24" spans="2:12" ht="15" customHeight="1">
      <c r="B24" s="15"/>
      <c r="C24" s="246">
        <v>0.95</v>
      </c>
      <c r="D24" s="202">
        <v>400</v>
      </c>
      <c r="E24" s="211">
        <f aca="true" t="shared" si="2" ref="E24:J26">E$11/$C$24/$D24</f>
        <v>0.9210526315789473</v>
      </c>
      <c r="F24" s="211">
        <f t="shared" si="2"/>
        <v>1.0526315789473686</v>
      </c>
      <c r="G24" s="211">
        <f t="shared" si="2"/>
        <v>1.1842105263157896</v>
      </c>
      <c r="H24" s="211">
        <f t="shared" si="2"/>
        <v>1.3157894736842106</v>
      </c>
      <c r="I24" s="211">
        <f t="shared" si="2"/>
        <v>1.5789473684210527</v>
      </c>
      <c r="J24" s="211">
        <f t="shared" si="2"/>
        <v>1.8421052631578947</v>
      </c>
      <c r="K24" s="210">
        <f>$K$11/C24/D24</f>
        <v>2.075668685032895</v>
      </c>
      <c r="L24" s="55"/>
    </row>
    <row r="25" spans="2:12" ht="15" customHeight="1">
      <c r="B25" s="15"/>
      <c r="C25" s="246"/>
      <c r="D25" s="202">
        <v>500</v>
      </c>
      <c r="E25" s="211">
        <f t="shared" si="2"/>
        <v>0.736842105263158</v>
      </c>
      <c r="F25" s="211">
        <f t="shared" si="2"/>
        <v>0.8421052631578948</v>
      </c>
      <c r="G25" s="211">
        <f t="shared" si="2"/>
        <v>0.9473684210526316</v>
      </c>
      <c r="H25" s="211">
        <f t="shared" si="2"/>
        <v>1.0526315789473686</v>
      </c>
      <c r="I25" s="211">
        <f t="shared" si="2"/>
        <v>1.263157894736842</v>
      </c>
      <c r="J25" s="211">
        <f t="shared" si="2"/>
        <v>1.473684210526316</v>
      </c>
      <c r="K25" s="210">
        <f>$K$11/C24/D25</f>
        <v>1.660534948026316</v>
      </c>
      <c r="L25" s="55"/>
    </row>
    <row r="26" spans="2:12" ht="15" customHeight="1">
      <c r="B26" s="15"/>
      <c r="C26" s="246"/>
      <c r="D26" s="202">
        <v>600</v>
      </c>
      <c r="E26" s="211">
        <f t="shared" si="2"/>
        <v>0.6140350877192983</v>
      </c>
      <c r="F26" s="211">
        <f t="shared" si="2"/>
        <v>0.7017543859649124</v>
      </c>
      <c r="G26" s="211">
        <f t="shared" si="2"/>
        <v>0.7894736842105264</v>
      </c>
      <c r="H26" s="211">
        <f t="shared" si="2"/>
        <v>0.8771929824561404</v>
      </c>
      <c r="I26" s="211">
        <f t="shared" si="2"/>
        <v>1.0526315789473684</v>
      </c>
      <c r="J26" s="211">
        <f t="shared" si="2"/>
        <v>1.2280701754385965</v>
      </c>
      <c r="K26" s="210">
        <f>$K$11/C24/D26</f>
        <v>1.3837791233552634</v>
      </c>
      <c r="L26" s="55"/>
    </row>
    <row r="27" spans="2:12" ht="15" customHeight="1" thickBot="1">
      <c r="B27" s="26"/>
      <c r="C27" s="214" t="s">
        <v>94</v>
      </c>
      <c r="D27" s="204"/>
      <c r="E27" s="204"/>
      <c r="F27" s="204"/>
      <c r="G27" s="204"/>
      <c r="H27" s="204"/>
      <c r="I27" s="204"/>
      <c r="J27" s="204"/>
      <c r="K27" s="205"/>
      <c r="L27" s="28"/>
    </row>
  </sheetData>
  <sheetProtection password="CA5F" sheet="1"/>
  <mergeCells count="6">
    <mergeCell ref="C18:C20"/>
    <mergeCell ref="E10:K10"/>
    <mergeCell ref="C21:C23"/>
    <mergeCell ref="C24:C26"/>
    <mergeCell ref="C12:C14"/>
    <mergeCell ref="C15:C17"/>
  </mergeCells>
  <printOptions horizontalCentered="1"/>
  <pageMargins left="0.75" right="0.75" top="1" bottom="1" header="0.5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Tranel,Jeffrey</cp:lastModifiedBy>
  <cp:lastPrinted>2022-10-20T17:56:54Z</cp:lastPrinted>
  <dcterms:created xsi:type="dcterms:W3CDTF">2005-01-26T22:32:31Z</dcterms:created>
  <dcterms:modified xsi:type="dcterms:W3CDTF">2022-10-28T12:39:32Z</dcterms:modified>
  <cp:category/>
  <cp:version/>
  <cp:contentType/>
  <cp:contentStatus/>
</cp:coreProperties>
</file>